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T:\Compliance\CONFLICT MINERALS 2024\Cobalt\"/>
    </mc:Choice>
  </mc:AlternateContent>
  <xr:revisionPtr revIDLastSave="0" documentId="8_{F07F9924-209E-4524-B17A-CBD2115668DD}"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C5"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80" i="5"/>
  <c r="S58" i="5"/>
  <c r="S52" i="5"/>
  <c r="S70" i="5"/>
  <c r="S81" i="5"/>
  <c r="S79" i="5"/>
  <c r="S42" i="5"/>
  <c r="S48" i="5"/>
  <c r="S90"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54" i="5"/>
  <c r="S66" i="5"/>
  <c r="S78" i="5"/>
  <c r="S89" i="5"/>
  <c r="S75" i="5"/>
  <c r="S51" i="5"/>
  <c r="S49" i="5"/>
  <c r="S73" i="5"/>
  <c r="S85" i="5"/>
  <c r="S68" i="5"/>
  <c r="S88" i="5"/>
  <c r="S43" i="5"/>
  <c r="S57" i="5"/>
  <c r="S59" i="5"/>
  <c r="S56" i="5"/>
  <c r="S72" i="5"/>
  <c r="S50" i="5"/>
  <c r="S41" i="5"/>
  <c r="S60" i="5"/>
  <c r="S74" i="5"/>
  <c r="S93" i="5"/>
  <c r="F9" i="5"/>
  <c r="H9" i="5"/>
  <c r="R10" i="5"/>
  <c r="I10" i="5"/>
  <c r="S69" i="5"/>
  <c r="S61" i="5"/>
  <c r="S45"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<sst xmlns="http://schemas.openxmlformats.org/spreadsheetml/2006/main" count="23065" uniqueCount="19213">
  <si>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</si>
  <si>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</si>
  <si>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</si>
  <si>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</si>
  <si>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</si>
  <si>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</si>
  <si>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</si>
  <si>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</si>
  <si>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</si>
  <si>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</si>
  <si>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</si>
  <si>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</si>
  <si>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</si>
  <si>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</si>
  <si>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</si>
  <si>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</si>
  <si>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</si>
  <si>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</si>
  <si>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</si>
  <si>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</si>
  <si>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</si>
  <si>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</si>
  <si>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</si>
  <si>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</si>
  <si>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</si>
  <si>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</si>
  <si>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</si>
  <si>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</si>
  <si>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</si>
  <si>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</si>
  <si>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</si>
  <si>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</si>
  <si>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</si>
  <si>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</si>
  <si>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</si>
  <si>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</si>
  <si>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</si>
  <si>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</si>
  <si>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</si>
  <si>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</si>
  <si>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</si>
  <si>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</si>
  <si>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</si>
  <si>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</si>
  <si>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</si>
  <si>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</si>
  <si>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</si>
  <si>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</si>
  <si>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</si>
  <si>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</si>
  <si>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</si>
  <si>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</si>
  <si>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</si>
  <si>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</si>
  <si>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</si>
  <si>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</si>
  <si>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</si>
  <si>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</si>
  <si>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</si>
  <si>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</si>
  <si>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</si>
  <si>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</si>
  <si>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</si>
  <si>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</si>
  <si>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</si>
  <si>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</si>
  <si>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</si>
  <si>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</si>
  <si>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</si>
  <si>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</si>
  <si>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</si>
  <si>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</si>
  <si>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</si>
  <si>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</si>
  <si>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</si>
  <si>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</si>
  <si>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</si>
  <si>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</si>
  <si>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</si>
  <si>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</si>
  <si>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</si>
  <si>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</si>
  <si>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</si>
  <si>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</si>
  <si>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</si>
  <si>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</si>
  <si>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</si>
  <si>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</si>
  <si>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</si>
  <si>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</si>
  <si>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</si>
  <si>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</si>
  <si>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</si>
  <si>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</si>
  <si>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</si>
  <si>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</si>
  <si>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</si>
  <si>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</si>
  <si>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</si>
  <si>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</si>
  <si>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</si>
  <si>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</si>
  <si>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</si>
  <si>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</si>
  <si>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</si>
  <si>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</si>
  <si>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</si>
  <si>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</si>
  <si>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</si>
  <si>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</si>
  <si>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</si>
  <si>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</si>
  <si>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</si>
  <si>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</si>
  <si>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</si>
  <si>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</si>
  <si>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</si>
  <si>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</si>
  <si>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</si>
  <si>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</si>
  <si>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</si>
  <si>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</si>
  <si>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</si>
  <si>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</si>
  <si>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</si>
  <si>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</si>
  <si>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</si>
  <si>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</si>
  <si>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</si>
  <si>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</si>
  <si>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</si>
  <si>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</si>
  <si>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</si>
  <si>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</si>
  <si>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</si>
  <si>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</si>
  <si>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</si>
  <si>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</si>
  <si>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</si>
  <si>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</si>
  <si>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</si>
  <si>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</si>
  <si>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</si>
  <si>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</si>
  <si>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</si>
  <si>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</si>
  <si>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</si>
  <si>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</si>
  <si>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</si>
  <si>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</si>
  <si>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</si>
  <si>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</si>
  <si>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</si>
  <si>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</si>
  <si>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</si>
  <si>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</si>
  <si>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</si>
  <si>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</si>
  <si>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</si>
  <si>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</si>
  <si>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</si>
  <si>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</si>
  <si>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</si>
  <si>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</si>
  <si>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</si>
  <si>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</si>
  <si>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</si>
  <si>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</si>
  <si>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</si>
  <si>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</si>
  <si>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</si>
  <si>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</si>
  <si>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</si>
  <si>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</si>
  <si>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</si>
  <si>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</si>
  <si>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</si>
  <si>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</si>
  <si>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</si>
  <si>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</si>
  <si>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</si>
  <si>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</si>
  <si>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</si>
  <si>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</si>
  <si>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</si>
  <si>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</si>
  <si>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</si>
  <si>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</si>
  <si>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</si>
  <si>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</si>
  <si>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</si>
  <si>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</si>
  <si>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</si>
  <si>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</si>
  <si>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</si>
  <si>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</si>
  <si>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</si>
  <si>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</si>
  <si>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</si>
  <si>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</si>
  <si>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</si>
  <si>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</si>
  <si>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</si>
  <si>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</si>
  <si>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</si>
  <si>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</si>
  <si>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</si>
  <si>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</si>
  <si>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</si>
  <si>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</si>
  <si>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</si>
  <si>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</si>
  <si>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</si>
  <si>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</si>
  <si>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</si>
  <si>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</si>
  <si>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</si>
  <si>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</si>
  <si>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</si>
  <si>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</si>
  <si>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</si>
  <si>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</si>
  <si>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</si>
  <si>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</si>
  <si>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</si>
  <si>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</si>
  <si>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</si>
  <si>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</si>
  <si>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</si>
  <si>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</si>
  <si>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</si>
  <si>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</si>
  <si>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</si>
  <si>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</si>
  <si>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</si>
  <si>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</si>
  <si>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</si>
  <si>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</si>
  <si>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</si>
  <si>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</si>
  <si>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</si>
  <si>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</si>
  <si>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</si>
  <si>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</si>
  <si>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</si>
  <si>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</si>
  <si>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</si>
  <si>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</si>
  <si>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</si>
  <si>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</si>
  <si>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</si>
  <si>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</si>
  <si>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</si>
  <si>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</si>
  <si>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</si>
  <si>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</si>
  <si>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</si>
  <si>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</si>
  <si>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</si>
  <si>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</si>
  <si>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</si>
  <si>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</si>
  <si>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</si>
  <si>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</si>
  <si>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</si>
  <si>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</si>
  <si>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</si>
  <si>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</si>
  <si>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</si>
  <si>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</si>
  <si>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</si>
  <si>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</si>
  <si>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</si>
  <si>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</si>
  <si>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</si>
  <si>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</si>
  <si>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</si>
  <si>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</si>
  <si>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</si>
  <si>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</si>
  <si>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</si>
  <si>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</si>
  <si>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</si>
  <si>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</si>
  <si>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</si>
  <si>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</si>
  <si>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</si>
  <si>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</si>
  <si>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</si>
  <si>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</si>
  <si>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</si>
  <si>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</si>
  <si>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</si>
  <si>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</si>
  <si>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</si>
  <si>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</si>
  <si>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</si>
  <si>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</si>
  <si>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</si>
  <si>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</si>
  <si>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</si>
  <si>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</si>
  <si>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</si>
  <si>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</si>
  <si>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</si>
  <si>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</si>
  <si>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</si>
  <si>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</si>
  <si>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</si>
  <si>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</si>
  <si>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</si>
  <si>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</si>
  <si>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</si>
  <si>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</si>
  <si>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</si>
  <si>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</si>
  <si>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</si>
  <si>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</si>
  <si>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</si>
  <si>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</si>
  <si>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</si>
  <si>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</si>
  <si>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</si>
  <si>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</si>
  <si>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</si>
  <si>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</si>
  <si>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</si>
  <si>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</si>
  <si>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</si>
  <si>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</si>
  <si>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</si>
  <si>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</si>
  <si>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</si>
  <si>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</si>
  <si>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</si>
  <si>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</si>
  <si>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</si>
  <si>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</si>
  <si>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</si>
  <si>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</si>
  <si>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</si>
  <si>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</si>
  <si>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</si>
  <si>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</si>
  <si>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</si>
  <si>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</si>
  <si>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</si>
  <si>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</si>
  <si>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</si>
  <si>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</si>
  <si>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</si>
  <si>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</si>
  <si>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</si>
  <si>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</si>
  <si>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</si>
  <si>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</si>
  <si>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</si>
  <si>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</si>
  <si>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</si>
  <si>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</si>
  <si>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</si>
  <si>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</si>
  <si>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</si>
  <si>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</si>
  <si>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</si>
  <si>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</si>
  <si>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</si>
  <si>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</si>
  <si>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</si>
  <si>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</si>
  <si>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</si>
  <si>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</si>
  <si>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</si>
  <si>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</si>
  <si>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</si>
  <si>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</si>
  <si>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</si>
  <si>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</si>
  <si>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</si>
  <si>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</si>
  <si>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</si>
  <si>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</si>
  <si>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</si>
  <si>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</si>
  <si>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</si>
  <si>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</si>
  <si>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</si>
  <si>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</si>
  <si>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</si>
  <si>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</si>
  <si>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</si>
  <si>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</si>
  <si>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</si>
  <si>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</si>
  <si>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</si>
  <si>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</si>
  <si>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</si>
  <si>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</si>
  <si>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</si>
  <si>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</si>
  <si>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</si>
  <si>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</si>
  <si>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</si>
  <si>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</si>
  <si>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</si>
  <si>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</si>
  <si>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</si>
  <si>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</si>
  <si>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</si>
  <si>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</si>
  <si>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</si>
  <si>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</si>
  <si>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</si>
  <si>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</si>
  <si>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</si>
  <si>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</si>
  <si>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</si>
  <si>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</si>
  <si>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</si>
  <si>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</si>
  <si>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</si>
  <si>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</si>
  <si>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</si>
  <si>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</si>
  <si>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</si>
  <si>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</si>
  <si>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</si>
  <si>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</si>
  <si>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</si>
  <si>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</si>
  <si>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</si>
  <si>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</si>
  <si>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</si>
  <si>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</si>
  <si>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</si>
  <si>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</si>
  <si>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</si>
  <si>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</si>
  <si>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</si>
  <si>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</si>
  <si>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</si>
  <si>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</si>
  <si>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</si>
  <si>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</si>
  <si>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</si>
  <si>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</si>
  <si>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</si>
  <si>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</si>
  <si>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</si>
  <si>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</si>
  <si>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</si>
  <si>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</si>
  <si>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</si>
  <si>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</si>
  <si>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</si>
  <si>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</si>
  <si>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</si>
  <si>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</si>
  <si>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</si>
  <si>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</si>
  <si>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</si>
  <si>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</si>
  <si>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</si>
  <si>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</si>
  <si>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</si>
  <si>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</si>
  <si>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</si>
  <si>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</si>
  <si>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</si>
  <si>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</si>
  <si>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</si>
  <si>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</si>
  <si>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</si>
  <si>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</si>
  <si>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</si>
  <si>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</si>
  <si>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</si>
  <si>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</si>
  <si>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</si>
  <si>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</si>
  <si>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</si>
  <si>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</si>
  <si>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</si>
  <si>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</si>
  <si>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</si>
  <si>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</si>
  <si>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</si>
  <si>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</si>
  <si>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</si>
  <si>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</si>
  <si>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</si>
  <si>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</si>
  <si>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</si>
  <si>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</si>
  <si>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</si>
  <si>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</si>
  <si>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</si>
  <si>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</si>
  <si>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</si>
  <si>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</si>
  <si>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</si>
  <si>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</si>
  <si>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</si>
  <si>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</si>
  <si>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</si>
  <si>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</si>
  <si>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</si>
  <si>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</si>
  <si>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</si>
  <si>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</si>
  <si>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</si>
  <si>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</si>
  <si>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</si>
  <si>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</si>
  <si>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</si>
  <si>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</si>
  <si>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</si>
  <si>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</si>
  <si>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</si>
  <si>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</si>
  <si>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</si>
  <si>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</si>
  <si>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</si>
  <si>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</si>
  <si>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</si>
  <si>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</si>
  <si>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</si>
  <si>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</si>
  <si>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</si>
  <si>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</si>
  <si>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</si>
  <si>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</si>
  <si>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</si>
  <si>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</si>
  <si>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</si>
  <si>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</si>
  <si>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</si>
  <si>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</si>
  <si>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</si>
  <si>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</si>
  <si>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</si>
  <si>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</si>
  <si>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</si>
  <si>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</si>
  <si>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</si>
  <si>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</si>
  <si>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</si>
  <si>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</si>
  <si>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</si>
  <si>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</si>
  <si>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</si>
  <si>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</si>
  <si>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</si>
  <si>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</si>
  <si>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</si>
  <si>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</si>
  <si>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</si>
  <si>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</si>
  <si>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</si>
  <si>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</si>
  <si>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</si>
  <si>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</si>
  <si>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</si>
  <si>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</si>
  <si>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</si>
  <si>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</si>
  <si>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</si>
  <si>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</si>
  <si>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</si>
  <si>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</si>
  <si>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</si>
  <si>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</si>
  <si>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</si>
  <si>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</si>
  <si>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</si>
  <si>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</si>
  <si>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</si>
  <si>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</si>
  <si>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</si>
  <si>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</si>
  <si>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</si>
  <si>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</si>
  <si>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</si>
  <si>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</si>
  <si>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</si>
  <si>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</si>
  <si>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</si>
  <si>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</si>
  <si>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</si>
  <si>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</si>
  <si>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</si>
  <si>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</si>
  <si>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</si>
  <si>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</si>
  <si>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</si>
  <si>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</si>
  <si>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</si>
  <si>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</si>
  <si>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</si>
  <si>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</si>
  <si>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</si>
  <si>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</si>
  <si>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</si>
  <si>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</si>
  <si>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</si>
  <si>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</si>
  <si>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</si>
  <si>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</si>
  <si>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</si>
  <si>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</si>
  <si>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</si>
  <si>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</si>
  <si>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</si>
  <si>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</si>
  <si>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</si>
  <si>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</si>
  <si>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</si>
  <si>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</si>
  <si>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</si>
  <si>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</si>
  <si>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</si>
  <si>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</si>
  <si>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</si>
  <si>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</si>
  <si>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</si>
  <si>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</si>
  <si>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</si>
  <si>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</si>
  <si>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</si>
  <si>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</si>
  <si>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</si>
  <si>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</si>
  <si>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</si>
  <si>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</si>
  <si>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</si>
  <si>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</si>
  <si>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</si>
  <si>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</si>
  <si>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</si>
  <si>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</si>
  <si>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</si>
  <si>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</si>
  <si>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</si>
  <si>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</si>
  <si>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</si>
  <si>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</si>
  <si>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</si>
  <si>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</si>
  <si>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</si>
  <si>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</si>
  <si>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</si>
  <si>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</si>
  <si>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</si>
  <si>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</si>
  <si>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</si>
  <si>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</si>
  <si>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</si>
  <si>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</si>
  <si>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</si>
  <si>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</si>
  <si>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</si>
  <si>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</si>
  <si>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</si>
  <si>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</si>
  <si>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</si>
  <si>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</si>
  <si>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</si>
  <si>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</si>
  <si>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</si>
  <si>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</si>
  <si>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</si>
  <si>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</si>
  <si>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</si>
  <si>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</si>
  <si>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</si>
  <si>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</si>
  <si>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</si>
  <si>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</si>
  <si>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</si>
  <si>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</si>
  <si>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</si>
  <si>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</si>
  <si>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</si>
  <si>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</si>
  <si>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</si>
  <si>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</si>
  <si>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</si>
  <si>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</si>
  <si>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</si>
  <si>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</si>
  <si>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</si>
  <si>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</si>
  <si>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</si>
  <si>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</si>
  <si>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</si>
  <si>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</si>
  <si>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</si>
  <si>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</si>
  <si>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</si>
  <si>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</si>
  <si>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</si>
  <si>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</si>
  <si>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</si>
  <si>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</si>
  <si>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</si>
  <si>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</si>
  <si>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</si>
  <si>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</si>
  <si>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</si>
  <si>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</si>
  <si>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</si>
  <si>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</si>
  <si>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</si>
  <si>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</si>
  <si>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</si>
  <si>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</si>
  <si>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</si>
  <si>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</si>
  <si>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</si>
  <si>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</si>
  <si>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</si>
  <si>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</si>
  <si>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</si>
  <si>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</si>
  <si>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</si>
  <si>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</si>
  <si>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</si>
  <si>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</si>
  <si>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</si>
  <si>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</si>
  <si>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</si>
  <si>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</si>
  <si>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</si>
  <si>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</si>
  <si>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</si>
  <si>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</si>
  <si>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</si>
  <si>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</si>
  <si>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</si>
  <si>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</si>
  <si>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</si>
  <si>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</si>
  <si>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</si>
  <si>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</si>
  <si>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</si>
  <si>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</si>
  <si>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</si>
  <si>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</si>
  <si>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</si>
  <si>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</si>
  <si>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</si>
  <si>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</si>
  <si>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</si>
  <si>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</si>
  <si>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</si>
  <si>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</si>
  <si>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</si>
  <si>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</si>
  <si>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</si>
  <si>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</si>
  <si>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</si>
  <si>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</si>
  <si>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</si>
  <si>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</si>
  <si>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</si>
  <si>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</si>
  <si>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</si>
  <si>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</si>
  <si>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</si>
  <si>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</si>
  <si>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</si>
  <si>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</si>
  <si>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</si>
  <si>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</si>
  <si>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</si>
  <si>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</si>
  <si>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</si>
  <si>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</si>
  <si>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</si>
  <si>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</si>
  <si>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</si>
  <si>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</si>
  <si>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</si>
  <si>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</si>
  <si>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</si>
  <si>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</si>
  <si>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</si>
  <si>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</si>
  <si>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</si>
  <si>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</si>
  <si>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</si>
  <si>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</si>
  <si>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</si>
  <si>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</si>
  <si>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</si>
  <si>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</si>
  <si>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</si>
  <si>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</si>
  <si>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</si>
  <si>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</si>
  <si>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</si>
  <si>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</si>
  <si>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</si>
  <si>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</si>
  <si>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</si>
  <si>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</si>
  <si>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</si>
  <si>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</si>
  <si>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</si>
  <si>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</si>
  <si>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</si>
  <si>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</si>
  <si>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</si>
  <si>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</si>
  <si>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</si>
  <si>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</si>
  <si>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</si>
  <si>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</si>
  <si>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</si>
  <si>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</si>
  <si>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</si>
  <si>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</si>
  <si>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</si>
  <si>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</si>
  <si>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</si>
  <si>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</si>
  <si>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</si>
  <si>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</si>
  <si>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</si>
  <si>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</si>
  <si>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</si>
  <si>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</si>
  <si>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</si>
  <si>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</si>
  <si>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</si>
  <si>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</si>
  <si>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</si>
  <si>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</si>
  <si>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</si>
  <si>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</si>
  <si>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</si>
  <si>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</si>
  <si>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</si>
  <si>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</si>
  <si>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</si>
  <si>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</si>
  <si>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</si>
  <si>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</si>
  <si>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</si>
  <si>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</si>
  <si>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</si>
  <si>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</si>
  <si>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</si>
  <si>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</si>
  <si>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</si>
  <si>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</si>
  <si>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</si>
  <si>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</si>
  <si>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</si>
  <si>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</si>
  <si>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</si>
  <si>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</si>
  <si>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</si>
  <si>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</si>
  <si>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</si>
  <si>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</si>
  <si>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</si>
  <si>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</si>
  <si>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</si>
  <si>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</si>
  <si>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</si>
  <si>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</si>
  <si>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</si>
  <si>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</si>
  <si>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</si>
  <si>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</si>
  <si>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</si>
  <si>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</si>
  <si>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</si>
  <si>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</si>
  <si>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</si>
  <si>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</si>
  <si>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</si>
  <si>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</si>
  <si>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</si>
  <si>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</si>
  <si>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</si>
  <si>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</si>
  <si>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</si>
  <si>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</si>
  <si>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</si>
  <si>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</si>
  <si>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</si>
  <si>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</si>
  <si>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</si>
  <si>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</si>
  <si>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</si>
  <si>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</si>
  <si>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</si>
  <si>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</si>
  <si>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</si>
  <si>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</si>
  <si>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</si>
  <si>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</si>
  <si>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</si>
  <si>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</si>
  <si>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</si>
  <si>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</si>
  <si>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</si>
  <si>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</si>
  <si>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</si>
  <si>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</si>
  <si>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</si>
  <si>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</si>
  <si>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</si>
  <si>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</si>
  <si>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</si>
  <si>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</si>
  <si>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</si>
  <si>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</si>
  <si>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</si>
  <si>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</si>
  <si>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</si>
  <si>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</si>
  <si>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</si>
  <si>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</si>
  <si>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</si>
  <si>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</si>
  <si>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</si>
  <si>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</si>
  <si>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</si>
  <si>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</si>
  <si>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</si>
  <si>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</si>
  <si>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</si>
  <si>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</si>
  <si>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</si>
  <si>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</si>
  <si>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</si>
  <si>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</si>
  <si>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</si>
  <si>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</si>
  <si>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</si>
  <si>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</si>
  <si>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</si>
  <si>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</si>
  <si>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</si>
  <si>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</si>
  <si>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</si>
  <si>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</si>
  <si>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</si>
  <si>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</si>
  <si>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</si>
  <si>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</si>
  <si>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</si>
  <si>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</si>
  <si>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</si>
  <si>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</si>
  <si>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</si>
  <si>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</si>
  <si>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</si>
  <si>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</si>
  <si>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</si>
  <si>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</si>
  <si>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</si>
  <si>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</si>
  <si>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</si>
  <si>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</si>
  <si>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</si>
  <si>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</si>
  <si>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</si>
  <si>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</si>
  <si>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</si>
  <si>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</si>
  <si>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</si>
  <si>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</si>
  <si>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</si>
  <si>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</si>
  <si>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</si>
  <si>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</si>
  <si>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</si>
  <si>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</si>
  <si>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</si>
  <si>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</si>
  <si>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</si>
  <si>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</si>
  <si>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</si>
  <si>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</si>
  <si>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</si>
  <si>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</si>
  <si>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</si>
  <si>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</si>
  <si>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</si>
  <si>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</si>
  <si>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</si>
  <si>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</si>
  <si>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</si>
  <si>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</si>
  <si>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</si>
  <si>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</si>
  <si>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</si>
  <si>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</si>
  <si>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</si>
  <si>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</si>
  <si>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</si>
  <si>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</si>
  <si>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</si>
  <si>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</si>
  <si>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</si>
  <si>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</si>
  <si>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</si>
  <si>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</si>
  <si>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</si>
  <si>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</si>
  <si>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</si>
  <si>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</si>
  <si>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</si>
  <si>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</si>
  <si>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</si>
  <si>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</si>
  <si>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</si>
  <si>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</si>
  <si>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</si>
  <si>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</si>
  <si>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</si>
  <si>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</si>
  <si>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</si>
  <si>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</si>
  <si>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</si>
  <si>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</si>
  <si>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</si>
  <si>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</si>
  <si>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</si>
  <si>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</si>
  <si>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</si>
  <si>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</si>
  <si>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</si>
  <si>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</si>
  <si>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</si>
  <si>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</si>
  <si>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</si>
  <si>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</si>
  <si>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</si>
  <si>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</si>
  <si>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</si>
  <si>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</si>
  <si>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</si>
  <si>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</si>
  <si>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</si>
  <si>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</si>
  <si>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</si>
  <si>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</si>
  <si>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</si>
  <si>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</si>
  <si>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</si>
  <si>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</si>
  <si>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</si>
  <si>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</si>
  <si>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</si>
  <si>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</si>
  <si>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</si>
  <si>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</si>
  <si>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</si>
  <si>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</si>
  <si>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</si>
  <si>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</si>
  <si>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</si>
  <si>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</si>
  <si>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</si>
  <si>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</si>
  <si>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</si>
  <si>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</si>
  <si>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</si>
  <si>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</si>
  <si>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</si>
  <si>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</si>
  <si>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</si>
  <si>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</si>
  <si>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</si>
  <si>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</si>
  <si>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</si>
  <si>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</si>
  <si>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</si>
  <si>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</si>
  <si>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</si>
  <si>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</si>
  <si>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</si>
  <si>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</si>
  <si>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</si>
  <si>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</si>
  <si>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</si>
  <si>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</si>
  <si>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</si>
  <si>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</si>
  <si>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</si>
  <si>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</si>
  <si>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</si>
  <si>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</si>
  <si>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</si>
  <si>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</si>
  <si>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</si>
  <si>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</si>
  <si>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</si>
  <si>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</si>
  <si>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</si>
  <si>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</si>
  <si>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</si>
  <si>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</si>
  <si>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</si>
  <si>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</si>
  <si>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</si>
  <si>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</si>
  <si>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</si>
  <si>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</si>
  <si>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</si>
  <si>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</si>
  <si>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</si>
  <si>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</si>
  <si>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</si>
  <si>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</si>
  <si>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</si>
  <si>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</si>
  <si>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</si>
  <si>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</si>
  <si>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</si>
  <si>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</si>
  <si>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</si>
  <si>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</si>
  <si>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</si>
  <si>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</si>
  <si>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</si>
  <si>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</si>
  <si>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</si>
  <si>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</si>
  <si>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</si>
  <si>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</si>
  <si>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</si>
  <si>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</si>
  <si>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</si>
  <si>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</si>
  <si>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</si>
  <si>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</si>
  <si>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</si>
  <si>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</si>
  <si>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</si>
  <si>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</si>
  <si>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</si>
  <si>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</si>
  <si>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</si>
  <si>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</si>
  <si>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</si>
  <si>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</si>
  <si>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</si>
  <si>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</si>
  <si>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</si>
  <si>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</si>
  <si>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</si>
  <si>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</si>
  <si>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</si>
  <si>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</si>
  <si>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</si>
  <si>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</si>
  <si>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</si>
  <si>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</si>
  <si>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</si>
  <si>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</si>
  <si>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</si>
  <si>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</si>
  <si>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</si>
  <si>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</si>
  <si>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</si>
  <si>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</si>
  <si>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</si>
  <si>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</si>
  <si>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</si>
  <si>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</si>
  <si>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</si>
  <si>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</si>
  <si>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</si>
  <si>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</si>
  <si>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</si>
  <si>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</si>
  <si>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</si>
  <si>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</si>
  <si>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</si>
  <si>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</si>
  <si>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</si>
  <si>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</si>
  <si>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</si>
  <si>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</si>
  <si>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</si>
  <si>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</si>
  <si>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</si>
  <si>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</si>
  <si>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</si>
  <si>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</si>
  <si>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</si>
  <si>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</si>
  <si>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</si>
  <si>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</si>
  <si>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</si>
  <si>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</si>
  <si>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</si>
  <si>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</si>
  <si>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</si>
  <si>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</si>
  <si>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</si>
  <si>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</si>
  <si>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</si>
  <si>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</si>
  <si>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</si>
  <si>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</si>
  <si>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</si>
  <si>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</si>
  <si>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</si>
  <si>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</si>
  <si>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</si>
  <si>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</si>
  <si>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</si>
  <si>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</si>
  <si>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</si>
  <si>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</si>
  <si>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</si>
  <si>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</si>
  <si>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</si>
  <si>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</si>
  <si>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</si>
  <si>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</si>
  <si>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</si>
  <si>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</si>
  <si>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</si>
  <si>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</si>
  <si>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</si>
  <si>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</si>
  <si>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</si>
  <si>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</si>
  <si>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</si>
  <si>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</si>
  <si>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</si>
  <si>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</si>
  <si>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</si>
  <si>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</si>
  <si>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</si>
  <si>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</si>
  <si>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</si>
  <si>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</si>
  <si>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</si>
  <si>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</si>
  <si>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</si>
  <si>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</si>
  <si>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</si>
  <si>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</si>
  <si>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</si>
  <si>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</si>
  <si>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</si>
  <si>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</si>
  <si>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</si>
  <si>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</si>
  <si>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</si>
  <si>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</si>
  <si>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</si>
  <si>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</si>
  <si>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</si>
  <si>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</si>
  <si>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</si>
  <si>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</si>
  <si>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</si>
  <si>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</si>
  <si>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</si>
  <si>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</si>
  <si>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</si>
  <si>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</si>
  <si>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</si>
  <si>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</si>
  <si>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</si>
  <si>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</si>
  <si>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</si>
  <si>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</si>
  <si>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</si>
  <si>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</si>
  <si>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</si>
  <si>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</si>
  <si>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</si>
  <si>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</si>
  <si>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</si>
  <si>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</si>
  <si>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</si>
  <si>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</si>
  <si>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</si>
  <si>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</si>
  <si>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</si>
  <si>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</si>
  <si>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</si>
  <si>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</si>
  <si>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</si>
  <si>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</si>
  <si>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</si>
  <si>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</si>
  <si>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</si>
  <si>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</si>
  <si>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</si>
  <si>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</si>
  <si>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</si>
  <si>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</si>
  <si>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</si>
  <si>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</si>
  <si>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</si>
  <si>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</si>
  <si>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</si>
  <si>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</si>
  <si>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</si>
  <si>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</si>
  <si>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</si>
  <si>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</si>
  <si>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</si>
  <si>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</si>
  <si>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</si>
  <si>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</si>
  <si>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</si>
  <si>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</si>
  <si>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</si>
  <si>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</si>
  <si>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</si>
  <si>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</si>
  <si>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</si>
  <si>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</si>
  <si>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</si>
  <si>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</si>
  <si>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</si>
  <si>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</si>
  <si>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</si>
  <si>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</si>
  <si>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</si>
  <si>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</si>
  <si>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</si>
  <si>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</si>
  <si>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</si>
  <si>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</si>
  <si>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</si>
  <si>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</si>
  <si>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</si>
  <si>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</si>
  <si>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</si>
  <si>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</si>
  <si>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</si>
  <si>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</si>
  <si>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</si>
  <si>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</si>
  <si>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</si>
  <si>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</si>
  <si>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</si>
  <si>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</si>
  <si>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</si>
  <si>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</si>
  <si>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</si>
  <si>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</si>
  <si>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</si>
  <si>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</si>
  <si>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</si>
  <si>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</si>
  <si>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</si>
  <si>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</si>
  <si>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</si>
  <si>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</si>
  <si>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</si>
  <si>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</si>
  <si>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</si>
  <si>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</si>
  <si>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</si>
  <si>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</si>
  <si>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</si>
  <si>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</si>
  <si>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</si>
  <si>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</si>
  <si>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</si>
  <si>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</si>
  <si>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</si>
  <si>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</si>
  <si>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</si>
  <si>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</si>
  <si>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</si>
  <si>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</si>
  <si>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</si>
  <si>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</si>
  <si>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</si>
  <si>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</si>
  <si>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</si>
  <si>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</si>
  <si>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</si>
  <si>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</si>
  <si>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</si>
  <si>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</si>
  <si>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</si>
  <si>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</si>
  <si>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</si>
  <si>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</si>
  <si>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</si>
  <si>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</si>
  <si>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</si>
  <si>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</si>
  <si>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</si>
  <si>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</si>
  <si>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</si>
  <si>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</si>
  <si>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</si>
  <si>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</si>
  <si>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</si>
  <si>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</si>
  <si>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</si>
  <si>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</si>
  <si>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</si>
  <si>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</si>
  <si>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</si>
  <si>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</si>
  <si>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</si>
  <si>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</si>
  <si>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</si>
  <si>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</si>
  <si>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</si>
  <si>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</si>
  <si>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</si>
  <si>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</si>
  <si>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</si>
  <si>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</si>
  <si>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</si>
  <si>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</si>
  <si>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</si>
  <si>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</si>
  <si>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</si>
  <si>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</si>
  <si>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</si>
  <si>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</si>
  <si>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</si>
  <si>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</si>
  <si>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</si>
  <si>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</si>
  <si>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</si>
  <si>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</si>
  <si>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</si>
  <si>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</si>
  <si>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</si>
  <si>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</si>
  <si>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</si>
  <si>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</si>
  <si>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</si>
  <si>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</si>
  <si>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</si>
  <si>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</si>
  <si>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</si>
  <si>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</si>
  <si>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</si>
  <si>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</si>
  <si>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</si>
  <si>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</si>
  <si>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</si>
  <si>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</si>
  <si>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</si>
  <si>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</si>
  <si>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</si>
  <si>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</si>
  <si>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</si>
  <si>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</si>
  <si>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</si>
  <si>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</si>
  <si>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</si>
  <si>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</si>
  <si>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</si>
  <si>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</si>
  <si>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</si>
  <si>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</si>
  <si>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</si>
  <si>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</si>
  <si>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</si>
  <si>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</si>
  <si>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</si>
  <si>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</si>
  <si>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</si>
  <si>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</si>
  <si>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</si>
  <si>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</si>
  <si>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</si>
  <si>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</si>
  <si>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</si>
  <si>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</si>
  <si>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</si>
  <si>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</si>
  <si>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</si>
  <si>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</si>
  <si>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</si>
  <si>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</si>
  <si>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</si>
  <si>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</si>
  <si>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</si>
  <si>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</si>
  <si>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</si>
  <si>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</si>
  <si>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</si>
  <si>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</si>
  <si>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</si>
  <si>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</si>
  <si>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</si>
  <si>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</si>
  <si>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</si>
  <si>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</si>
  <si>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</si>
  <si>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</si>
  <si>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</si>
  <si>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</si>
  <si>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</si>
  <si>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</si>
  <si>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</si>
  <si>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</si>
  <si>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</si>
  <si>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</si>
  <si>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</si>
  <si>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</si>
  <si>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</si>
  <si>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</si>
  <si>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</si>
  <si>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</si>
  <si>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</si>
  <si>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</si>
  <si>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</si>
  <si>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</si>
  <si>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</si>
  <si>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</si>
  <si>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</si>
  <si>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</si>
  <si>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</si>
  <si>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</si>
  <si>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</si>
  <si>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</si>
  <si>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</si>
  <si>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</si>
  <si>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</si>
  <si>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</si>
  <si>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</si>
  <si>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</si>
  <si>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</si>
  <si>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</si>
  <si>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</si>
  <si>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</si>
  <si>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</si>
  <si>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</si>
  <si>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</si>
  <si>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</si>
  <si>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</si>
  <si>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</si>
  <si>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</si>
  <si>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</si>
  <si>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</si>
  <si>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</si>
  <si>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</si>
  <si>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</si>
  <si>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</si>
  <si>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</si>
  <si>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</si>
  <si>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</si>
  <si>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</si>
  <si>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</si>
  <si>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</si>
  <si>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</si>
  <si>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</si>
  <si>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</si>
  <si>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</si>
  <si>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</si>
  <si>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</si>
  <si>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</si>
  <si>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</si>
  <si>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</si>
  <si>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</si>
  <si>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</si>
  <si>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</si>
  <si>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</si>
  <si>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</si>
  <si>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</si>
  <si>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</si>
  <si>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</si>
  <si>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</si>
  <si>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</si>
  <si>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</si>
  <si>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</si>
  <si>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</si>
  <si>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</si>
  <si>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</si>
  <si>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</si>
  <si>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</si>
  <si>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</si>
  <si>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</si>
  <si>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</si>
  <si>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</si>
  <si>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</si>
  <si>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</si>
  <si>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</si>
  <si>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</si>
  <si>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</si>
  <si>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</si>
  <si>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</si>
  <si>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</si>
  <si>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</si>
  <si>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</si>
  <si>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</si>
  <si>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</si>
  <si>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</si>
  <si>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</si>
  <si>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</si>
  <si>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</si>
  <si>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</si>
  <si>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</si>
  <si>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</si>
  <si>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</si>
  <si>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</si>
  <si>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</si>
  <si>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</si>
  <si>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</si>
  <si>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</si>
  <si>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</si>
  <si>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</si>
  <si>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</si>
  <si>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</si>
  <si>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</si>
  <si>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</si>
  <si>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</si>
  <si>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</si>
  <si>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</si>
  <si>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</si>
  <si>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</si>
  <si>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</si>
  <si>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</si>
  <si>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</si>
  <si>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</si>
  <si>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</si>
  <si>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</si>
  <si>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</si>
  <si>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</si>
  <si>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</si>
  <si>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</si>
  <si>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</si>
  <si>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</si>
  <si>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</si>
  <si>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</si>
  <si>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</si>
  <si>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</si>
  <si>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</si>
  <si>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</si>
  <si>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</si>
  <si>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</si>
  <si>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</si>
  <si>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</si>
  <si>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</si>
  <si>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</si>
  <si>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</si>
  <si>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</si>
  <si>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</si>
  <si>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</si>
  <si>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</si>
  <si>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</si>
  <si>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</si>
  <si>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</si>
  <si>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</si>
  <si>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</si>
  <si>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</si>
  <si>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</si>
  <si>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</si>
  <si>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</si>
  <si>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</si>
  <si>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</si>
  <si>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</si>
  <si>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</si>
  <si>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</si>
  <si>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</si>
  <si>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</si>
  <si>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</si>
  <si>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</si>
  <si>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</si>
  <si>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</si>
  <si>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</si>
  <si>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</si>
  <si>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</si>
  <si>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</si>
  <si>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</si>
  <si>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</si>
  <si>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</si>
  <si>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</si>
  <si>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</si>
  <si>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</si>
  <si>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</si>
  <si>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</si>
  <si>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</si>
  <si>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</si>
  <si>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</si>
  <si>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</si>
  <si>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</si>
  <si>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</si>
  <si>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</si>
  <si>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</si>
  <si>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</si>
  <si>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</si>
  <si>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</si>
  <si>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</si>
  <si>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</si>
  <si>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</si>
  <si>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</si>
  <si>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</si>
  <si>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</si>
  <si>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</si>
  <si>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</si>
  <si>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</si>
  <si>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</si>
  <si>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</si>
  <si>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</si>
  <si>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</si>
  <si>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</si>
  <si>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</si>
  <si>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</si>
  <si>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</si>
  <si>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</si>
  <si>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</si>
  <si>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</si>
  <si>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</si>
  <si>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</si>
  <si>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</si>
  <si>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</si>
  <si>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</si>
  <si>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</si>
  <si>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</si>
  <si>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</si>
  <si>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</si>
  <si>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</si>
  <si>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</si>
  <si>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</si>
  <si>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</si>
  <si>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</si>
  <si>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</si>
  <si>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</si>
  <si>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</si>
  <si>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</si>
  <si>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</si>
  <si>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</si>
  <si>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</si>
  <si>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</si>
  <si>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</si>
  <si>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</si>
  <si>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</si>
  <si>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</si>
  <si>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</si>
  <si>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</si>
  <si>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</si>
  <si>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</si>
  <si>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</si>
  <si>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</si>
  <si>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</si>
  <si>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</si>
  <si>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</si>
  <si>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</si>
  <si>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</si>
  <si>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</si>
  <si>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</si>
  <si>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</si>
  <si>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</si>
  <si>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</si>
  <si>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</si>
  <si>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</si>
  <si>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</si>
  <si>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</si>
  <si>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</si>
  <si>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</si>
  <si>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</si>
  <si>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</si>
  <si>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</si>
  <si>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</si>
  <si>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</si>
  <si>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</si>
  <si>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</si>
  <si>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</si>
  <si>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</si>
  <si>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</si>
  <si>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</si>
  <si>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</si>
  <si>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</si>
  <si>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</si>
  <si>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</si>
  <si>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</si>
  <si>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</si>
  <si>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</si>
  <si>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</si>
  <si>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</si>
  <si>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</si>
  <si>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</si>
  <si>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</si>
  <si>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</si>
  <si>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</si>
  <si>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</si>
  <si>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</si>
  <si>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</si>
  <si>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</si>
  <si>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</si>
  <si>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</si>
  <si>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</si>
  <si>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</si>
  <si>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</si>
  <si>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</si>
  <si>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</si>
  <si>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</si>
  <si>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</si>
  <si>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</si>
  <si>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</si>
  <si>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</si>
  <si>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</si>
  <si>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</si>
  <si>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</si>
  <si>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</si>
  <si>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</si>
  <si>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</si>
  <si>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</si>
  <si>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</si>
  <si>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</si>
  <si>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</si>
  <si>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</si>
  <si>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</si>
  <si>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</si>
  <si>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</si>
  <si>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</si>
  <si>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</si>
  <si>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</si>
  <si>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</si>
  <si>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</si>
  <si>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</si>
  <si>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</si>
  <si>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</si>
  <si>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</si>
  <si>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</si>
  <si>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</si>
  <si>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</si>
  <si>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</si>
  <si>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</si>
  <si>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</si>
  <si>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</si>
  <si>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</si>
  <si>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</si>
  <si>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</si>
  <si>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</si>
  <si>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</si>
  <si>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</si>
  <si>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</si>
  <si>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</si>
  <si>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</si>
  <si>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</si>
  <si>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</si>
  <si>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</si>
  <si>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</si>
  <si>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</si>
  <si>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</si>
  <si>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</si>
  <si>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</si>
  <si>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</si>
  <si>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</si>
  <si>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</si>
  <si>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</si>
  <si>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</si>
  <si>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</si>
  <si>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</si>
  <si>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</si>
  <si>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</si>
  <si>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</si>
  <si>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</si>
  <si>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</si>
  <si>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</si>
  <si>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</si>
  <si>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</si>
  <si>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</si>
  <si>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</si>
  <si>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</si>
  <si>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</si>
  <si>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</si>
  <si>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</si>
  <si>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</si>
  <si>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</si>
  <si>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</si>
  <si>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</si>
  <si>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</si>
  <si>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</si>
  <si>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</si>
  <si>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</si>
  <si>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</si>
  <si>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</si>
  <si>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</si>
  <si>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</si>
  <si>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</si>
  <si>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</si>
  <si>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</si>
  <si>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</si>
  <si>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</si>
  <si>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</si>
  <si>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</si>
  <si>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</si>
  <si>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</si>
  <si>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</si>
  <si>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</si>
  <si>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</si>
  <si>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</si>
  <si>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</si>
  <si>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</si>
  <si>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</si>
  <si>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</si>
  <si>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</si>
  <si>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</si>
  <si>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</si>
  <si>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</si>
  <si>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</si>
  <si>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</si>
  <si>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</si>
  <si>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</si>
  <si>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</si>
  <si>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</si>
  <si>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</si>
  <si>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</si>
  <si>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</si>
  <si>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</si>
  <si>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</si>
  <si>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</si>
  <si>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</si>
  <si>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</si>
  <si>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</si>
  <si>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</si>
  <si>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</si>
  <si>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</si>
  <si>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</si>
  <si>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</si>
  <si>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</si>
  <si>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</si>
  <si>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</si>
  <si>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</si>
  <si>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</si>
  <si>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</si>
  <si>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</si>
  <si>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</si>
  <si>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</si>
  <si>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</si>
  <si>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</si>
  <si>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</si>
  <si>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</si>
  <si>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</si>
  <si>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</si>
  <si>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</si>
  <si>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</si>
  <si>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</si>
  <si>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</si>
  <si>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</si>
  <si>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</si>
  <si>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</si>
  <si>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</si>
  <si>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</si>
  <si>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</si>
  <si>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</si>
  <si>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</si>
  <si>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</si>
  <si>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</si>
  <si>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</si>
  <si>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</si>
  <si>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</si>
  <si>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</si>
  <si>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</si>
  <si>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</si>
  <si>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</si>
  <si>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</si>
  <si>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</si>
  <si>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</si>
  <si>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</si>
  <si>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</si>
  <si>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</si>
  <si>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</si>
  <si>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</si>
  <si>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</si>
  <si>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</si>
  <si>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</si>
  <si>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</si>
  <si>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</si>
  <si>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</si>
  <si>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</si>
  <si>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</si>
  <si>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</si>
  <si>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</si>
  <si>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</si>
  <si>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</si>
  <si>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</si>
  <si>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</si>
  <si>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</si>
  <si>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</si>
  <si>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</si>
  <si>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</si>
  <si>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</si>
  <si>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</si>
  <si>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</si>
  <si>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</si>
  <si>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</si>
  <si>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</si>
  <si>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</si>
  <si>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</si>
  <si>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</si>
  <si>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</si>
  <si>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</si>
  <si>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</si>
  <si>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</si>
  <si>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</si>
  <si>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</si>
  <si>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</si>
  <si>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</si>
  <si>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</si>
  <si>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</si>
  <si>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</si>
  <si>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</si>
  <si>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</si>
  <si>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</si>
  <si>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</si>
  <si>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</si>
  <si>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</si>
  <si>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</si>
  <si>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</si>
  <si>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</si>
  <si>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</si>
  <si>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</si>
  <si>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</si>
  <si>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</si>
  <si>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</si>
  <si>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</si>
  <si>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</si>
  <si>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</si>
  <si>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</si>
  <si>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</si>
  <si>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</si>
  <si>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</si>
  <si>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</si>
  <si>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</si>
  <si>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</si>
  <si>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</si>
  <si>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</si>
  <si>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</si>
  <si>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</si>
  <si>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</si>
  <si>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</si>
  <si>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</si>
  <si>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</si>
  <si>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</si>
  <si>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</si>
  <si>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</si>
  <si>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</si>
  <si>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</si>
  <si>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</si>
  <si>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</si>
  <si>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</si>
  <si>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</si>
  <si>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</si>
  <si>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</si>
  <si>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</si>
  <si>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</si>
  <si>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</si>
  <si>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</si>
  <si>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</si>
  <si>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</si>
  <si>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</si>
  <si>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</si>
  <si>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</si>
  <si>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</si>
  <si>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</si>
  <si>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</si>
  <si>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</si>
  <si>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</si>
  <si>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</si>
  <si>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</si>
  <si>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</si>
  <si>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</si>
  <si>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</si>
  <si>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</si>
  <si>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</si>
  <si>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</si>
  <si>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</si>
  <si>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</si>
  <si>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</si>
  <si>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</si>
  <si>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</si>
  <si>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</si>
  <si>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</si>
  <si>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</si>
  <si>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</si>
  <si>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</si>
  <si>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</si>
  <si>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</si>
  <si>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</si>
  <si>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</si>
  <si>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</si>
  <si>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</si>
  <si>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</si>
  <si>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</si>
  <si>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</si>
  <si>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</si>
  <si>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</si>
  <si>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</si>
  <si>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</si>
  <si>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</si>
  <si>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</si>
  <si>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</si>
  <si>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</si>
  <si>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</si>
  <si>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</si>
  <si>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</si>
  <si>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</si>
  <si>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</si>
  <si>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</si>
  <si>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</si>
  <si>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</si>
  <si>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</si>
  <si>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</si>
  <si>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</si>
  <si>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</si>
  <si>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</si>
  <si>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</si>
  <si>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</si>
  <si>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</si>
  <si>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</si>
  <si>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</si>
  <si>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</si>
  <si>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</si>
  <si>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</si>
  <si>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</si>
  <si>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</si>
  <si>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</si>
  <si>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</si>
  <si>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</si>
  <si>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</si>
  <si>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</si>
  <si>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</si>
  <si>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</si>
  <si>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</si>
  <si>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</si>
  <si>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</si>
  <si>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</si>
  <si>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</si>
  <si>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</si>
  <si>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</si>
  <si>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</si>
  <si>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</si>
  <si>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</si>
  <si>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</si>
  <si>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</si>
  <si>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</si>
  <si>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</si>
  <si>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</si>
  <si>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</si>
  <si>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</si>
  <si>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</si>
  <si>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</si>
  <si>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</si>
  <si>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</si>
  <si>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</si>
  <si>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</si>
  <si>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</si>
  <si>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</si>
  <si>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</si>
  <si>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</si>
  <si>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</si>
  <si>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</si>
  <si>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</si>
  <si>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</si>
  <si>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</si>
  <si>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</si>
  <si>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</si>
  <si>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</si>
  <si>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</si>
  <si>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</si>
  <si>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</si>
  <si>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</si>
  <si>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</si>
  <si>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</si>
  <si>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</si>
  <si>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</si>
  <si>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</si>
  <si>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</si>
  <si>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</si>
  <si>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</si>
  <si>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</si>
  <si>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</si>
  <si>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</si>
  <si>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</si>
  <si>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</si>
  <si>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</si>
  <si>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</si>
  <si>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</si>
  <si>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</si>
  <si>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</si>
  <si>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</si>
  <si>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</si>
  <si>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</si>
  <si>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</si>
  <si>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</si>
  <si>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</si>
  <si>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</si>
  <si>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</si>
  <si>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</si>
  <si>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</si>
  <si>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</si>
  <si>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</si>
  <si>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</si>
  <si>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</si>
  <si>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</si>
  <si>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</si>
  <si>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</si>
  <si>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</si>
  <si>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</si>
  <si>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</si>
  <si>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</si>
  <si>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</si>
  <si>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</si>
  <si>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</si>
  <si>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</si>
  <si>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</si>
  <si>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</si>
  <si>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</si>
  <si>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</si>
  <si>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</si>
  <si>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</si>
  <si>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</si>
  <si>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</si>
  <si>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</si>
  <si>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</si>
  <si>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</si>
  <si>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</si>
  <si>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</si>
  <si>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</si>
  <si>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</si>
  <si>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</si>
  <si>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</si>
  <si>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</si>
  <si>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</si>
  <si>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</si>
  <si>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</si>
  <si>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</si>
  <si>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</si>
  <si>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</si>
  <si>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</si>
  <si>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</si>
  <si>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</si>
  <si>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</si>
  <si>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</si>
  <si>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</si>
  <si>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</si>
  <si>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</si>
  <si>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</si>
  <si>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</si>
  <si>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</si>
  <si>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</si>
  <si>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</si>
  <si>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</si>
  <si>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</si>
  <si>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</si>
  <si>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</si>
  <si>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</si>
  <si>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</si>
  <si>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</si>
  <si>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</si>
  <si>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</si>
  <si>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</si>
  <si>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</si>
  <si>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</si>
  <si>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</si>
  <si>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</si>
  <si>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</si>
  <si>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</si>
  <si>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</si>
  <si>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</si>
  <si>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</si>
  <si>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</si>
  <si>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</si>
  <si>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</si>
  <si>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</si>
  <si>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</si>
  <si>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</si>
  <si>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</si>
  <si>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</si>
  <si>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</si>
  <si>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</si>
  <si>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</si>
  <si>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</si>
  <si>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</si>
  <si>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</si>
  <si>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</si>
  <si>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</si>
  <si>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</si>
  <si>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</si>
  <si>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</si>
  <si>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</si>
  <si>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</si>
  <si>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</si>
  <si>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</si>
  <si>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</si>
  <si>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</si>
  <si>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</si>
  <si>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</si>
  <si>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</si>
  <si>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</si>
  <si>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</si>
  <si>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</si>
  <si>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</si>
  <si>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</si>
  <si>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</si>
  <si>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</si>
  <si>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</si>
  <si>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</si>
  <si>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</si>
  <si>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</si>
  <si>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</si>
  <si>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</si>
  <si>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</si>
  <si>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</si>
  <si>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</si>
  <si>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</si>
  <si>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</si>
  <si>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</si>
  <si>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</si>
  <si>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</si>
  <si>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</si>
  <si>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</si>
  <si>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</si>
  <si>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</si>
  <si>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</si>
  <si>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</si>
  <si>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</si>
  <si>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</si>
  <si>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</si>
  <si>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</si>
  <si>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</si>
  <si>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</si>
  <si>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</si>
  <si>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</si>
  <si>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</si>
  <si>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</si>
  <si>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</si>
  <si>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</si>
  <si>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</si>
  <si>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</si>
  <si>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</si>
  <si>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</si>
  <si>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</si>
  <si>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</si>
  <si>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</si>
  <si>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</si>
  <si>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</si>
  <si>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</si>
  <si>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</si>
  <si>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</si>
  <si>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</si>
  <si>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</si>
  <si>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</si>
  <si>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</si>
  <si>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</si>
  <si>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</si>
  <si>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</si>
  <si>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</si>
  <si>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</si>
  <si>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</si>
  <si>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</si>
  <si>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</si>
  <si>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</si>
  <si>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</si>
  <si>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</si>
  <si>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</si>
  <si>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</si>
  <si>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</si>
  <si>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</si>
  <si>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</si>
  <si>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</si>
  <si>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</si>
  <si>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</si>
  <si>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</si>
  <si>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</si>
  <si>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</si>
  <si>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</si>
  <si>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</si>
  <si>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</si>
  <si>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</si>
  <si>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</si>
  <si>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</si>
  <si>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</si>
  <si>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</si>
  <si>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</si>
  <si>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</si>
  <si>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</si>
  <si>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</si>
  <si>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</si>
  <si>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</si>
  <si>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</si>
  <si>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</si>
  <si>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</si>
  <si>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</si>
  <si>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</si>
  <si>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</si>
  <si>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</si>
  <si>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</si>
  <si>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</si>
  <si>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</si>
  <si>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</si>
  <si>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</si>
  <si>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</si>
  <si>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</si>
  <si>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</si>
  <si>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</si>
  <si>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</si>
  <si>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</si>
  <si>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</si>
  <si>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</si>
  <si>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</si>
  <si>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</si>
  <si>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</si>
  <si>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</si>
  <si>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</si>
  <si>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</si>
  <si>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</si>
  <si>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</si>
  <si>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</si>
  <si>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</si>
  <si>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</si>
  <si>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</si>
  <si>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</si>
  <si>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</si>
  <si>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</si>
  <si>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</si>
  <si>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</si>
  <si>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</si>
  <si>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</si>
  <si>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</si>
  <si>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</si>
  <si>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</si>
  <si>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</si>
  <si>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</si>
  <si>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</si>
  <si>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</si>
  <si>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</si>
  <si>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</si>
  <si>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</si>
  <si>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</si>
  <si>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</si>
  <si>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</si>
  <si>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</si>
  <si>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</si>
  <si>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</si>
  <si>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</si>
  <si>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</si>
  <si>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</si>
  <si>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</si>
  <si>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</si>
  <si>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</si>
  <si>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</si>
  <si>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</si>
  <si>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</si>
  <si>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</si>
  <si>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</si>
  <si>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</si>
  <si>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</si>
  <si>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</si>
  <si>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</si>
  <si>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</si>
  <si>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</si>
  <si>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</si>
  <si>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</si>
  <si>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</si>
  <si>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</si>
  <si>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</si>
  <si>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</si>
  <si>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</si>
  <si>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</si>
  <si>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</si>
  <si>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</si>
  <si>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</si>
  <si>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</si>
  <si>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</si>
  <si>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</si>
  <si>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</si>
  <si>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</si>
  <si>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</si>
  <si>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</si>
  <si>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</si>
  <si>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</si>
  <si>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</si>
  <si>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</si>
  <si>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</si>
  <si>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</si>
  <si>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</si>
  <si>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</si>
  <si>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</si>
  <si>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</si>
  <si>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</si>
  <si>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</si>
  <si>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</si>
  <si>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</si>
  <si>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</si>
  <si>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</si>
  <si>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</si>
  <si>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</si>
  <si>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</si>
  <si>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</si>
  <si>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</si>
  <si>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</si>
  <si>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</si>
  <si>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</si>
  <si>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</si>
  <si>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</si>
  <si>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</si>
  <si>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</si>
  <si>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</si>
  <si>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</si>
  <si>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</si>
  <si>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</si>
  <si>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</si>
  <si>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</si>
  <si>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</si>
  <si>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</si>
  <si>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</si>
  <si>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</si>
  <si>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</si>
  <si>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</si>
  <si>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</si>
  <si>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</si>
  <si>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</si>
  <si>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</si>
  <si>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</si>
  <si>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</si>
  <si>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</si>
  <si>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</si>
  <si>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</si>
  <si>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</si>
  <si>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</si>
  <si>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</si>
  <si>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</si>
  <si>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</si>
  <si>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</si>
  <si>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</si>
  <si>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</si>
  <si>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</si>
  <si>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</si>
  <si>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</si>
  <si>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</si>
  <si>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</si>
  <si>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</si>
  <si>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</si>
  <si>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</si>
  <si>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</si>
  <si>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</si>
  <si>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</si>
  <si>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</si>
  <si>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</si>
  <si>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</si>
  <si>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</si>
  <si>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</si>
  <si>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</si>
  <si>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</si>
  <si>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</si>
  <si>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</si>
  <si>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</si>
  <si>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</si>
  <si>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</si>
  <si>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</si>
  <si>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</si>
  <si>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</si>
  <si>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</si>
  <si>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</si>
  <si>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</si>
  <si>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</si>
  <si>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</si>
  <si>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</si>
  <si>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</si>
  <si>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</si>
  <si>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</si>
  <si>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</si>
  <si>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</si>
  <si>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</si>
  <si>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</si>
  <si>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</si>
  <si>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</si>
  <si>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</si>
  <si>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</si>
  <si>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</si>
  <si>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</si>
  <si>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</si>
  <si>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</si>
  <si>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</si>
  <si>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</si>
  <si>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</si>
  <si>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</si>
  <si>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</si>
  <si>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</si>
  <si>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</si>
  <si>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</si>
  <si>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</si>
  <si>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</si>
  <si>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</si>
  <si>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</si>
  <si>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</si>
  <si>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</si>
  <si>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</si>
  <si>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</si>
  <si>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</si>
  <si>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</si>
  <si>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</si>
  <si>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</si>
  <si>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</si>
  <si>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</si>
  <si>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</si>
  <si>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</si>
  <si>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</si>
  <si>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</si>
  <si>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</si>
  <si>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</si>
  <si>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</si>
  <si>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</si>
  <si>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</si>
  <si>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</si>
  <si>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</si>
  <si>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</si>
  <si>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</si>
  <si>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</si>
  <si>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</si>
  <si>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</si>
  <si>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</si>
  <si>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</si>
  <si>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</si>
  <si>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</si>
  <si>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</si>
  <si>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</si>
  <si>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</si>
  <si>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</si>
  <si>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</si>
  <si>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</si>
  <si>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</si>
  <si>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</si>
  <si>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</si>
  <si>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</si>
  <si>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</si>
  <si>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</si>
  <si>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</si>
  <si>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</si>
  <si>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</si>
  <si>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</si>
  <si>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</si>
  <si>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</si>
  <si>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</si>
  <si>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</si>
  <si>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</si>
  <si>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</si>
  <si>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</si>
  <si>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</si>
  <si>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</si>
  <si>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</si>
  <si>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</si>
  <si>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</si>
  <si>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</si>
  <si>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</si>
  <si>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</si>
  <si>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</si>
  <si>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</si>
  <si>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</si>
  <si>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</si>
  <si>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</si>
  <si>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</si>
  <si>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</si>
  <si>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</si>
  <si>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</si>
  <si>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</si>
  <si>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</si>
  <si>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</si>
  <si>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</si>
  <si>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</si>
  <si>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</si>
  <si>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</si>
  <si>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</si>
  <si>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</si>
  <si>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</si>
  <si>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</si>
  <si>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</si>
  <si>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</si>
  <si>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</si>
  <si>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</si>
  <si>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</si>
  <si>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</si>
  <si>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</si>
  <si>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</si>
  <si>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</si>
  <si>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</si>
  <si>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</si>
  <si>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</si>
  <si>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</si>
  <si>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</si>
  <si>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</si>
  <si>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</si>
  <si>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</si>
  <si>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</si>
  <si>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</si>
  <si>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</si>
  <si>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</si>
  <si>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</si>
  <si>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</si>
  <si>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</si>
  <si>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</si>
  <si>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</si>
  <si>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</si>
  <si>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</si>
  <si>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</si>
  <si>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</si>
  <si>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</si>
  <si>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</si>
  <si>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</si>
  <si>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</si>
  <si>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</si>
  <si>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</si>
  <si>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</si>
  <si>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</si>
  <si>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</si>
  <si>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</si>
  <si>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</si>
  <si>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</si>
  <si>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</si>
  <si>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</si>
  <si>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</si>
  <si>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</si>
  <si>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</si>
  <si>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</si>
  <si>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</si>
  <si>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</si>
  <si>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</si>
  <si>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</si>
  <si>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</si>
  <si>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</si>
  <si>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</si>
  <si>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</si>
  <si>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</si>
  <si>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</si>
  <si>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</si>
  <si>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</si>
  <si>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</si>
  <si>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</si>
  <si>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</si>
  <si>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</si>
  <si>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</si>
  <si>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</si>
  <si>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</si>
  <si>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</si>
  <si>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</si>
  <si>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</si>
  <si>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</si>
  <si>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</si>
  <si>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</si>
  <si>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</si>
  <si>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</si>
  <si>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</si>
  <si>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</si>
  <si>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</si>
  <si>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</si>
  <si>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</si>
  <si>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</si>
  <si>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</si>
  <si>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</si>
  <si>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</si>
  <si>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</si>
  <si>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</si>
  <si>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</si>
  <si>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</si>
  <si>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</si>
  <si>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</si>
  <si>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</si>
  <si>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</si>
  <si>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</si>
  <si>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</si>
  <si>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</si>
  <si>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</si>
  <si>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</si>
  <si>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</si>
  <si>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</si>
  <si>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</si>
  <si>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</si>
  <si>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</si>
  <si>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</si>
  <si>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</si>
  <si>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</si>
  <si>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</si>
  <si>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</si>
  <si>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</si>
  <si>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</si>
  <si>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</si>
  <si>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</si>
  <si>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</si>
  <si>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</si>
  <si>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</si>
  <si>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</si>
  <si>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</si>
  <si>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</si>
  <si>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</si>
  <si>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</si>
  <si>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</si>
  <si>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</si>
  <si>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</si>
  <si>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</si>
  <si>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</si>
  <si>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</si>
  <si>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</si>
  <si>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</si>
  <si>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</si>
  <si>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</si>
  <si>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</si>
  <si>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</si>
  <si>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</si>
  <si>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</si>
  <si>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</si>
  <si>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</si>
  <si>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</si>
  <si>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</si>
  <si>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</si>
  <si>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</si>
  <si>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</si>
  <si>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</si>
  <si>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</si>
  <si>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</si>
  <si>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</si>
  <si>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</si>
  <si>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</si>
  <si>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</si>
  <si>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</si>
  <si>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</si>
  <si>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</si>
  <si>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</si>
  <si>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</si>
  <si>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</si>
  <si>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</si>
  <si>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</si>
  <si>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</si>
  <si>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</si>
  <si>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</si>
  <si>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</si>
  <si>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</si>
  <si>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</si>
  <si>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</si>
  <si>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</si>
  <si>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</si>
  <si>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</si>
  <si>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</si>
  <si>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</si>
  <si>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</si>
  <si>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</si>
  <si>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</si>
  <si>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</si>
  <si>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</si>
  <si>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</si>
  <si>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</si>
  <si>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</si>
  <si>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</si>
  <si>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</si>
  <si>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</si>
  <si>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</si>
  <si>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</si>
  <si>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</si>
  <si>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</si>
  <si>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</si>
  <si>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</si>
  <si>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</si>
  <si>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</si>
  <si>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</si>
  <si>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</si>
  <si>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</si>
  <si>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</si>
  <si>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</si>
  <si>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</si>
  <si>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</si>
  <si>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</si>
  <si>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</si>
  <si>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</si>
  <si>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</si>
  <si>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</si>
  <si>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</si>
  <si>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</si>
  <si>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</si>
  <si>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</si>
  <si>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</si>
  <si>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</si>
  <si>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</si>
  <si>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</si>
  <si>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</si>
  <si>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</si>
  <si>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</si>
  <si>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</si>
  <si>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</si>
  <si>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</si>
  <si>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</si>
  <si>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</si>
  <si>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</si>
  <si>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</si>
  <si>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</si>
  <si>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</si>
  <si>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</si>
  <si>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</si>
  <si>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</si>
  <si>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</si>
  <si>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</si>
  <si>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</si>
  <si>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</si>
  <si>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</si>
  <si>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</si>
  <si>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</si>
  <si>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</si>
  <si>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</si>
  <si>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</si>
  <si>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</si>
  <si>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</si>
  <si>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</si>
  <si>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</si>
  <si>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</si>
  <si>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</si>
  <si>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</si>
  <si>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</si>
  <si>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</si>
  <si>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</si>
  <si>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</si>
  <si>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</si>
  <si>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</si>
  <si>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</si>
  <si>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</si>
  <si>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</si>
  <si>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</si>
  <si>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</si>
  <si>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</si>
  <si>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</si>
  <si>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</si>
  <si>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</si>
  <si>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</si>
  <si>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</si>
  <si>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</si>
  <si>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</si>
  <si>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</si>
  <si>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</si>
  <si>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</si>
  <si>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</si>
  <si>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</si>
  <si>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</si>
  <si>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</si>
  <si>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</si>
  <si>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</si>
  <si>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</si>
  <si>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</si>
  <si>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</si>
  <si>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</si>
  <si>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</si>
  <si>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</si>
  <si>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</si>
  <si>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</si>
  <si>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</si>
  <si>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</si>
  <si>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</si>
  <si>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</si>
  <si>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</si>
  <si>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</si>
  <si>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</si>
  <si>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</si>
  <si>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</si>
  <si>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</si>
  <si>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</si>
  <si>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</si>
  <si>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</si>
  <si>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</si>
  <si>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</si>
  <si>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</si>
  <si>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</si>
  <si>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</si>
  <si>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</si>
  <si>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</si>
  <si>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</si>
  <si>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</si>
  <si>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</si>
  <si>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</si>
  <si>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</si>
  <si>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</si>
  <si>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</si>
  <si>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</si>
  <si>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</si>
  <si>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</si>
  <si>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</si>
  <si>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</si>
  <si>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</si>
  <si>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</si>
  <si>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</si>
  <si>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</si>
  <si>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</si>
  <si>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</si>
  <si>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</si>
  <si>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</si>
  <si>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</si>
  <si>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</si>
  <si>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</si>
  <si>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</si>
  <si>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</si>
  <si>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</si>
  <si>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</si>
  <si>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</si>
  <si>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</si>
  <si>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</si>
  <si>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</si>
  <si>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</si>
  <si>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</si>
  <si>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</si>
  <si>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</si>
  <si>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</si>
  <si>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</si>
  <si>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</si>
  <si>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</si>
  <si>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</si>
  <si>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</si>
  <si>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</si>
  <si>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</si>
  <si>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</si>
  <si>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</si>
  <si>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</si>
  <si>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</si>
  <si>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</si>
  <si>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</si>
  <si>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</si>
  <si>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</si>
  <si>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</si>
  <si>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</si>
  <si>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</si>
  <si>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</si>
  <si>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</si>
  <si>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</si>
  <si>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</si>
  <si>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</si>
  <si>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</si>
  <si>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</si>
  <si>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</si>
  <si>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</si>
  <si>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</si>
  <si>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</si>
  <si>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</si>
  <si>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</si>
  <si>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</si>
  <si>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</si>
  <si>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</si>
  <si>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</si>
  <si>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</si>
  <si>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</si>
  <si>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</si>
  <si>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</si>
  <si>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</si>
  <si>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</si>
  <si>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</si>
  <si>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</si>
  <si>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</si>
  <si>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</si>
  <si>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</si>
  <si>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</si>
  <si>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</si>
  <si>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</si>
  <si>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</si>
  <si>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</si>
  <si>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</si>
  <si>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</si>
  <si>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</si>
  <si>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</si>
  <si>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</si>
  <si>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</si>
  <si>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</si>
  <si>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</si>
  <si>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</si>
  <si>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</si>
  <si>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</si>
  <si>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</si>
  <si>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</si>
  <si>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</si>
  <si>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</si>
  <si>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</si>
  <si>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</si>
  <si>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</si>
  <si>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</si>
  <si>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</si>
  <si>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</si>
  <si>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</si>
  <si>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</si>
  <si>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</si>
  <si>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</si>
  <si>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</si>
  <si>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</si>
  <si>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</si>
  <si>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</si>
  <si>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</si>
  <si>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</si>
  <si>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</si>
  <si>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</si>
  <si>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</si>
  <si>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</si>
  <si>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</si>
  <si>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</si>
  <si>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</si>
  <si>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</si>
  <si>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</si>
  <si>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</si>
  <si>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</si>
  <si>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</si>
  <si>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</si>
  <si>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</si>
  <si>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</si>
  <si>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</si>
  <si>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</si>
  <si>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</si>
  <si>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</si>
  <si>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</si>
  <si>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</si>
  <si>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</si>
  <si>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</si>
  <si>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</si>
  <si>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</si>
  <si>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</si>
  <si>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</si>
  <si>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</si>
  <si>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</si>
  <si>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</si>
  <si>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</si>
  <si>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</si>
  <si>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</si>
  <si>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</si>
  <si>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</si>
  <si>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</si>
  <si>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</si>
  <si>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</si>
  <si>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</si>
  <si>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</si>
  <si>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</si>
  <si>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</si>
  <si>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</si>
  <si>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</si>
  <si>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</si>
  <si>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</si>
  <si>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</si>
  <si>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</si>
  <si>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</si>
  <si>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</si>
  <si>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</si>
  <si>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</si>
  <si>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</si>
  <si>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</si>
  <si>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</si>
  <si>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</si>
  <si>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</si>
  <si>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</si>
  <si>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</si>
  <si>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</si>
  <si>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</si>
  <si>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</si>
  <si>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</si>
  <si>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</si>
  <si>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</si>
  <si>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</si>
  <si>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</si>
  <si>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</si>
  <si>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</si>
  <si>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</si>
  <si>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</si>
  <si>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</si>
  <si>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</si>
  <si>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</si>
  <si>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</si>
  <si>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</si>
  <si>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</si>
  <si>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</si>
  <si>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</si>
  <si>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</si>
  <si>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</si>
  <si>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</si>
  <si>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</si>
  <si>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</si>
  <si>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</si>
  <si>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</si>
  <si>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</si>
  <si>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</si>
  <si>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</si>
  <si>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</si>
  <si>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</si>
  <si>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</si>
  <si>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</si>
  <si>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</si>
  <si>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</si>
  <si>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</si>
  <si>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</si>
  <si>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</si>
  <si>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</si>
  <si>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</si>
  <si>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</si>
  <si>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</si>
  <si>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</si>
  <si>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</si>
  <si>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</si>
  <si>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</si>
  <si>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</si>
  <si>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</si>
  <si>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</si>
  <si>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</si>
  <si>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</si>
  <si>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</si>
  <si>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</si>
  <si>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</si>
  <si>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</si>
  <si>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</si>
  <si>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</si>
  <si>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</si>
  <si>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</si>
  <si>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</si>
  <si>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</si>
  <si>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</si>
  <si>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</si>
  <si>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</si>
  <si>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</si>
  <si>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</si>
  <si>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</si>
  <si>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</si>
  <si>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</si>
  <si>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</si>
  <si>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</si>
  <si>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</si>
  <si>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</si>
  <si>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</si>
  <si>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</si>
  <si>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</si>
  <si>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</si>
  <si>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</si>
  <si>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</si>
  <si>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</si>
  <si>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</si>
  <si>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</si>
  <si>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</si>
  <si>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</si>
  <si>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</si>
  <si>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</si>
  <si>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</si>
  <si>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</si>
  <si>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</si>
  <si>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</si>
  <si>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</si>
  <si>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</si>
  <si>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</si>
  <si>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</si>
  <si>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</si>
  <si>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</si>
  <si>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</si>
  <si>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</si>
  <si>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</si>
  <si>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</si>
  <si>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</si>
  <si>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</si>
  <si>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</si>
  <si>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</si>
  <si>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</si>
  <si>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</si>
  <si>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</si>
  <si>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</si>
  <si>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</si>
  <si>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</si>
  <si>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</si>
  <si>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</si>
  <si>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</si>
  <si>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</si>
  <si>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</si>
  <si>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</si>
  <si>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</si>
  <si>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</si>
  <si>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</si>
  <si>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</si>
  <si>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</si>
  <si>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</si>
  <si>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</si>
  <si>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</si>
  <si>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</si>
  <si>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</si>
  <si>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</si>
  <si>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</si>
  <si>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</si>
  <si>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</si>
  <si>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</si>
  <si>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</si>
  <si>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</si>
  <si>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</si>
  <si>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</si>
  <si>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</si>
  <si>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</si>
  <si>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</si>
  <si>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</si>
  <si>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</si>
  <si>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</si>
  <si>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</si>
  <si>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</si>
  <si>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</si>
  <si>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</si>
  <si>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</si>
  <si>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</si>
  <si>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</si>
  <si>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</si>
  <si>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</si>
  <si>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</si>
  <si>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</si>
  <si>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</si>
  <si>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</si>
  <si>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</si>
  <si>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</si>
  <si>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</si>
  <si>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</si>
  <si>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</si>
  <si>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</si>
  <si>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</si>
  <si>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</si>
  <si>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</si>
  <si>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</si>
  <si>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</si>
  <si>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</si>
  <si>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</si>
  <si>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</si>
  <si>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</si>
  <si>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</si>
  <si>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</si>
  <si>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</si>
  <si>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</si>
  <si>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</si>
  <si>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</si>
  <si>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</si>
  <si>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</si>
  <si>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</si>
  <si>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</si>
  <si>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</si>
  <si>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</si>
  <si>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</si>
  <si>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</si>
  <si>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</si>
  <si>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</si>
  <si>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</si>
  <si>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</si>
  <si>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</si>
  <si>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</si>
  <si>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</si>
  <si>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</si>
  <si>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</si>
  <si>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</si>
  <si>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</si>
  <si>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</si>
  <si>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</si>
  <si>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</si>
  <si>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</si>
  <si>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</si>
  <si>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</si>
  <si>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</si>
  <si>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</si>
  <si>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</si>
  <si>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</si>
  <si>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</si>
  <si>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</si>
  <si>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</si>
  <si>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</si>
  <si>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</si>
  <si>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</si>
  <si>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</si>
  <si>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</si>
  <si>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</si>
  <si>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</si>
  <si>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</si>
  <si>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</si>
  <si>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</si>
  <si>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</si>
  <si>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</si>
  <si>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</si>
  <si>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</si>
  <si>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</si>
  <si>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</si>
  <si>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</si>
  <si>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</si>
  <si>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</si>
  <si>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</si>
  <si>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</si>
  <si>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</si>
  <si>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</si>
  <si>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</si>
  <si>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</si>
  <si>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</si>
  <si>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</si>
  <si>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</si>
  <si>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</si>
  <si>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</si>
  <si>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</si>
  <si>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</si>
  <si>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</si>
  <si>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</si>
  <si>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</si>
  <si>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</si>
  <si>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</si>
  <si>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</si>
  <si>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</si>
  <si>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</si>
  <si>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</si>
  <si>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</si>
  <si>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</si>
  <si>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</si>
  <si>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</si>
  <si>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</si>
  <si>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</si>
  <si>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</si>
  <si>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</si>
  <si>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</si>
  <si>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</si>
  <si>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</si>
  <si>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</si>
  <si>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</si>
  <si>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</si>
  <si>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</si>
  <si>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</si>
  <si>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</si>
  <si>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</si>
  <si>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</si>
  <si>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</si>
  <si>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</si>
  <si>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</si>
  <si>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</si>
  <si>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</si>
  <si>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</si>
  <si>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</si>
  <si>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</si>
  <si>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</si>
  <si>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</si>
  <si>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</si>
  <si>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</si>
  <si>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</si>
  <si>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</si>
  <si>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</si>
  <si>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</si>
  <si>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</si>
  <si>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</si>
  <si>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</si>
  <si>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</si>
  <si>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</si>
  <si>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</si>
  <si>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</si>
  <si>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</si>
  <si>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</si>
  <si>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</si>
  <si>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</si>
  <si>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</si>
  <si>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</si>
  <si>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</si>
  <si>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</si>
  <si>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</si>
  <si>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</si>
  <si>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</si>
  <si>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</si>
  <si>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</si>
  <si>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</si>
  <si>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</si>
  <si>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</si>
  <si>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</si>
  <si>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</si>
  <si>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</si>
  <si>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</si>
  <si>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</si>
  <si>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</si>
  <si>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</si>
  <si>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</si>
  <si>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</si>
  <si>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</si>
  <si>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</si>
  <si>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</si>
  <si>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</si>
  <si>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</si>
  <si>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</si>
  <si>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</si>
  <si>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</si>
  <si>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</si>
  <si>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</si>
  <si>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</si>
  <si>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</si>
  <si>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</si>
  <si>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</si>
  <si>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</si>
  <si>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</si>
  <si>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</si>
  <si>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</si>
  <si>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</si>
  <si>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</si>
  <si>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</si>
  <si>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</si>
  <si>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</si>
  <si>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</si>
  <si>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</si>
  <si>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</si>
  <si>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</si>
  <si>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</si>
  <si>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</si>
  <si>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</si>
  <si>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</si>
  <si>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</si>
  <si>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</si>
  <si>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</si>
  <si>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</si>
  <si>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</si>
  <si>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</si>
  <si>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</si>
  <si>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</si>
  <si>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</si>
  <si>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</si>
  <si>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</si>
  <si>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</si>
  <si>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</si>
  <si>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</si>
  <si>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</si>
  <si>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</si>
  <si>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</si>
  <si>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</si>
  <si>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</si>
  <si>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</si>
  <si>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</si>
  <si>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</si>
  <si>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</si>
  <si>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</si>
  <si>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</si>
  <si>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</si>
  <si>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</si>
  <si>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</si>
  <si>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</si>
  <si>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</si>
  <si>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</si>
  <si>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</si>
  <si>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</si>
  <si>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</si>
  <si>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</si>
  <si>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</si>
  <si>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</si>
  <si>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</si>
  <si>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</si>
  <si>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</si>
  <si>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</si>
  <si>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</si>
  <si>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</si>
  <si>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</si>
  <si>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</si>
  <si>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</si>
  <si>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</si>
  <si>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</si>
  <si>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</si>
  <si>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</si>
  <si>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</si>
  <si>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</si>
  <si>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</si>
  <si>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</si>
  <si>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</si>
  <si>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</si>
  <si>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</si>
  <si>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</si>
  <si>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</si>
  <si>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</si>
  <si>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</si>
  <si>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</si>
  <si>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</si>
  <si>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</si>
  <si>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</si>
  <si>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</si>
  <si>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</si>
  <si>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</si>
  <si>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</si>
  <si>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</si>
  <si>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</si>
  <si>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</si>
  <si>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</si>
  <si>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</si>
  <si>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</si>
  <si>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</si>
  <si>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</si>
  <si>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</si>
  <si>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</si>
  <si>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</si>
  <si>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</si>
  <si>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</si>
  <si>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</si>
  <si>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</si>
  <si>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</si>
  <si>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</si>
  <si>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</si>
  <si>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</si>
  <si>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</si>
  <si>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</si>
  <si>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</si>
  <si>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</si>
  <si>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</si>
  <si>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</si>
  <si>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</si>
  <si>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</si>
  <si>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</si>
  <si>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</si>
  <si>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</si>
  <si>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</si>
  <si>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</si>
  <si>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</si>
  <si>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</si>
  <si>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</si>
  <si>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</si>
  <si>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</si>
  <si>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</si>
  <si>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</si>
  <si>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</si>
  <si>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</si>
  <si>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</si>
  <si>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</si>
  <si>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</si>
  <si>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</si>
  <si>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</si>
  <si>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</si>
  <si>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</si>
  <si>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</si>
  <si>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</si>
  <si>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</si>
  <si>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</si>
  <si>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</si>
  <si>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</si>
  <si>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</si>
  <si>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</si>
  <si>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</si>
  <si>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</si>
  <si>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</si>
  <si>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</si>
  <si>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</si>
  <si>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</si>
  <si>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</si>
  <si>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</si>
  <si>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</si>
  <si>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</si>
  <si>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</si>
  <si>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</si>
  <si>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</si>
  <si>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</si>
  <si>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</si>
  <si>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</si>
  <si>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</si>
  <si>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</si>
  <si>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</si>
  <si>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</si>
  <si>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</si>
  <si>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</si>
  <si>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</si>
  <si>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</si>
  <si>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</si>
  <si>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</si>
  <si>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</si>
  <si>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</si>
  <si>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</si>
  <si>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</si>
  <si>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</si>
  <si>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</si>
  <si>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</si>
  <si>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</si>
  <si>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</si>
  <si>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</si>
  <si>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</si>
  <si>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</si>
  <si>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</si>
  <si>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</si>
  <si>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</si>
  <si>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</si>
  <si>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</si>
  <si>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</si>
  <si>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</si>
  <si>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</si>
  <si>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</si>
  <si>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</si>
  <si>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</si>
  <si>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</si>
  <si>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</si>
  <si>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</si>
  <si>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</si>
  <si>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</si>
  <si>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</si>
  <si>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</si>
  <si>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</si>
  <si>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</si>
  <si>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</si>
  <si>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</si>
  <si>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</si>
  <si>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</si>
  <si>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</si>
  <si>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</si>
  <si>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</si>
  <si>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</si>
  <si>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</si>
  <si>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</si>
  <si>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</si>
  <si>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</si>
  <si>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</si>
  <si>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</si>
  <si>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</si>
  <si>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</si>
  <si>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</si>
  <si>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</si>
  <si>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</si>
  <si>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</si>
  <si>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</si>
  <si>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</si>
  <si>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</si>
  <si>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</si>
  <si>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</si>
  <si>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</si>
  <si>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</si>
  <si>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</si>
  <si>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</si>
  <si>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</si>
  <si>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</si>
  <si>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</si>
  <si>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</si>
  <si>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</si>
  <si>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</si>
  <si>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</si>
  <si>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</si>
  <si>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</si>
  <si>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</si>
  <si>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</si>
  <si>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</si>
  <si>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</si>
  <si>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</si>
  <si>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</si>
  <si>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</si>
  <si>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</si>
  <si>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</si>
  <si>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</si>
  <si>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</si>
  <si>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</si>
  <si>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</si>
  <si>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</si>
  <si>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</si>
  <si>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</si>
  <si>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</si>
  <si>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</si>
  <si>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</si>
  <si>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</si>
  <si>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</si>
  <si>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</si>
  <si>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</si>
  <si>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</si>
  <si>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</si>
  <si>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</si>
  <si>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</si>
  <si>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</si>
  <si>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</si>
  <si>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</si>
  <si>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</si>
  <si>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</si>
  <si>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</si>
  <si>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</si>
  <si>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</si>
  <si>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</si>
  <si>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</si>
  <si>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</si>
  <si>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</si>
  <si>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</si>
  <si>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</si>
  <si>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</si>
  <si>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</si>
  <si>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</si>
  <si>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</si>
  <si>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</si>
  <si>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</si>
  <si>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</si>
  <si>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</si>
  <si>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</si>
  <si>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</si>
  <si>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</si>
  <si>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</si>
  <si>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</si>
  <si>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</si>
  <si>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</si>
  <si>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</si>
  <si>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</si>
  <si>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</si>
  <si>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</si>
  <si>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</si>
  <si>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</si>
  <si>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</si>
  <si>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</si>
  <si>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</si>
  <si>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</si>
  <si>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</si>
  <si>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</si>
  <si>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</si>
  <si>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</si>
  <si>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</si>
  <si>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</si>
  <si>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</si>
  <si>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</si>
  <si>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</si>
  <si>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</si>
  <si>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</si>
  <si>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</si>
  <si>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</si>
  <si>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</si>
  <si>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</si>
  <si>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</si>
  <si>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</si>
  <si>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</si>
  <si>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</si>
  <si>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</si>
  <si>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</si>
  <si>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</si>
  <si>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</si>
  <si>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</si>
  <si>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</si>
  <si>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</si>
  <si>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</si>
  <si>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</si>
  <si>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</si>
  <si>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</si>
  <si>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</si>
  <si>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</si>
  <si>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</si>
  <si>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</si>
  <si>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</si>
  <si>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</si>
  <si>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</si>
  <si>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</si>
  <si>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</si>
  <si>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</si>
  <si>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</si>
  <si>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</si>
  <si>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</si>
  <si>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</si>
  <si>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</si>
  <si>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</si>
  <si>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</si>
  <si>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</si>
  <si>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</si>
  <si>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</si>
  <si>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</si>
  <si>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</si>
  <si>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</si>
  <si>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</si>
  <si>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</si>
  <si>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</si>
  <si>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</si>
  <si>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</si>
  <si>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</si>
  <si>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</si>
  <si>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</si>
  <si>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</si>
  <si>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</si>
  <si>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</si>
  <si>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</si>
  <si>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</si>
  <si>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</si>
  <si>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</si>
  <si>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</si>
  <si>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</si>
  <si>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</si>
  <si>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</si>
  <si>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</si>
  <si>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</si>
  <si>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</si>
  <si>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</si>
  <si>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</si>
  <si>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</si>
  <si>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</si>
  <si>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</si>
  <si>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</si>
  <si>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</si>
  <si>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</si>
  <si>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</si>
  <si>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</si>
  <si>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</si>
  <si>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</si>
  <si>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</si>
  <si>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</si>
  <si>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</si>
  <si>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</si>
  <si>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</si>
  <si>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</si>
  <si>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</si>
  <si>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</si>
  <si>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</si>
  <si>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</si>
  <si>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</si>
  <si>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</si>
  <si>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</si>
  <si>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</si>
  <si>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</si>
  <si>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</si>
  <si>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</si>
  <si>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</si>
  <si>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</si>
  <si>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</si>
  <si>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</si>
  <si>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</si>
  <si>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</si>
  <si>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</si>
  <si>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</si>
  <si>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</si>
  <si>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</si>
  <si>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</si>
  <si>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</si>
  <si>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</si>
  <si>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</si>
  <si>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</si>
  <si>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</si>
  <si>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</si>
  <si>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</si>
  <si>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</si>
  <si>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</si>
  <si>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</si>
  <si>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</si>
  <si>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</si>
  <si>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</si>
  <si>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</si>
  <si>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</si>
  <si>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</si>
  <si>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</si>
  <si>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</si>
  <si>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</si>
  <si>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</si>
  <si>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</si>
  <si>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</si>
  <si>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</si>
  <si>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</si>
  <si>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</si>
  <si>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</si>
  <si>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</si>
  <si>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</si>
  <si>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</si>
  <si>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</si>
  <si>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</si>
  <si>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</si>
  <si>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</si>
  <si>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</si>
  <si>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</si>
  <si>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</si>
  <si>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</si>
  <si>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</si>
  <si>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</si>
  <si>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</si>
  <si>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</si>
  <si>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</si>
  <si>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</si>
  <si>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</si>
  <si>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</si>
  <si>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</si>
  <si>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</si>
  <si>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</si>
  <si>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</si>
  <si>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</si>
  <si>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</si>
  <si>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</si>
  <si>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</si>
  <si>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</si>
  <si>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</si>
  <si>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</si>
  <si>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</si>
  <si>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</si>
  <si>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</si>
  <si>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</si>
  <si>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</si>
  <si>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</si>
  <si>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</si>
  <si>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</si>
  <si>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</si>
  <si>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</si>
  <si>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</si>
  <si>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</si>
  <si>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</si>
  <si>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</si>
  <si>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</si>
  <si>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</si>
  <si>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</si>
  <si>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</si>
  <si>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</si>
  <si>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</si>
  <si>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</si>
  <si>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</si>
  <si>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</si>
  <si>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</si>
  <si>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</si>
  <si>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</si>
  <si>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</si>
  <si>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</si>
  <si>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</si>
  <si>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</si>
  <si>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</si>
  <si>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</si>
  <si>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</si>
  <si>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</si>
  <si>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</si>
  <si>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</si>
  <si>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</si>
  <si>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</si>
  <si>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</si>
  <si>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</si>
  <si>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</si>
  <si>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</si>
  <si>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</si>
  <si>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</si>
  <si>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</si>
  <si>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</si>
  <si>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</si>
  <si>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</si>
  <si>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</si>
  <si>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</si>
  <si>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</si>
  <si>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</si>
  <si>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</si>
  <si>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</si>
  <si>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</si>
  <si>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</si>
  <si>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</si>
  <si>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</si>
  <si>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</si>
  <si>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</si>
  <si>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</si>
  <si>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</si>
  <si>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</si>
  <si>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</si>
  <si>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</si>
  <si>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</si>
  <si>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</si>
  <si>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</si>
  <si>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</si>
  <si>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</si>
  <si>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</si>
  <si>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</si>
  <si>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</si>
  <si>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</si>
  <si>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</si>
  <si>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</si>
  <si>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</si>
  <si>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</si>
  <si>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</si>
  <si>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</si>
  <si>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</si>
  <si>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</si>
  <si>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</si>
  <si>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</si>
  <si>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</si>
  <si>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</si>
  <si>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</si>
  <si>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</si>
  <si>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</si>
  <si>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</si>
  <si>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</si>
  <si>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</si>
  <si>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</si>
  <si>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</si>
  <si>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</si>
  <si>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</si>
  <si>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</si>
  <si>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</si>
  <si>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</si>
  <si>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</si>
  <si>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</si>
  <si>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</si>
  <si>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</si>
  <si>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</si>
  <si>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</si>
  <si>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</si>
  <si>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</si>
  <si>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</si>
  <si>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</si>
  <si>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</si>
  <si>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</si>
  <si>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</si>
  <si>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</si>
  <si>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</si>
  <si>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</si>
  <si>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</si>
  <si>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</si>
  <si>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</si>
  <si>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</si>
  <si>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</si>
  <si>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</si>
  <si>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</si>
  <si>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</si>
  <si>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</si>
  <si>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</si>
  <si>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</si>
  <si>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</si>
  <si>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</si>
  <si>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</si>
  <si>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</si>
  <si>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</si>
  <si>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</si>
  <si>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</si>
  <si>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</si>
  <si>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</si>
  <si>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</si>
  <si>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</si>
  <si>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</si>
  <si>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</si>
  <si>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</si>
  <si>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</si>
  <si>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</si>
  <si>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</si>
  <si>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</si>
  <si>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</si>
  <si>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</si>
  <si>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</si>
  <si>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</si>
  <si>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</si>
  <si>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</si>
  <si>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</si>
  <si>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</si>
  <si>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</si>
  <si>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</si>
  <si>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</si>
  <si>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</si>
  <si>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</si>
  <si>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</si>
  <si>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</si>
  <si>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</si>
  <si>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</si>
  <si>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</si>
  <si>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</si>
  <si>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</si>
  <si>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</si>
  <si>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</si>
  <si>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</si>
  <si>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</si>
  <si>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</si>
  <si>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</si>
  <si>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</si>
  <si>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</si>
  <si>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</si>
  <si>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</si>
  <si>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</si>
  <si>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</si>
  <si>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</si>
  <si>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</si>
  <si>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</si>
  <si>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</si>
  <si>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</si>
  <si>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</si>
  <si>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</si>
  <si>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</si>
  <si>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</si>
  <si>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</si>
  <si>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</si>
  <si>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</si>
  <si>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</si>
  <si>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</si>
  <si>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</si>
  <si>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</si>
  <si>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</si>
  <si>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</si>
  <si>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</si>
  <si>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</si>
  <si>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</si>
  <si>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</si>
  <si>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</si>
  <si>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</si>
  <si>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</si>
  <si>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</si>
  <si>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</si>
  <si>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</si>
  <si>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</si>
  <si>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</si>
  <si>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</si>
  <si>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</si>
  <si>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</si>
  <si>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</si>
  <si>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</si>
  <si>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</si>
  <si>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</si>
  <si>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</si>
  <si>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</si>
  <si>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</si>
  <si>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</si>
  <si>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</si>
  <si>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</si>
  <si>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</si>
  <si>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</si>
  <si>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</si>
  <si>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</si>
  <si>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</si>
  <si>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</si>
  <si>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</si>
  <si>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</si>
  <si>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</si>
  <si>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</si>
  <si>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</si>
  <si>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</si>
  <si>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</si>
  <si>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</si>
  <si>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</si>
  <si>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</si>
  <si>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</si>
  <si>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</si>
  <si>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</si>
  <si>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</si>
  <si>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</si>
  <si>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</si>
  <si>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</si>
  <si>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</si>
  <si>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</si>
  <si>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</si>
  <si>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</si>
  <si>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</si>
  <si>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</si>
  <si>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</si>
  <si>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</si>
  <si>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</si>
  <si>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</si>
  <si>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</si>
  <si>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</si>
  <si>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</si>
  <si>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</si>
  <si>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</si>
  <si>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</si>
  <si>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</si>
  <si>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</si>
  <si>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</si>
  <si>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</si>
  <si>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</si>
  <si>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</si>
  <si>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</si>
  <si>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</si>
  <si>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</si>
  <si>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</si>
  <si>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</si>
  <si>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</si>
  <si>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</si>
  <si>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</si>
  <si>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</si>
  <si>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</si>
  <si>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</si>
  <si>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</si>
  <si>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</si>
  <si>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</si>
  <si>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</si>
  <si>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</si>
  <si>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</si>
  <si>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</si>
  <si>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</si>
  <si>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</si>
  <si>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</si>
  <si>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</si>
  <si>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</si>
  <si>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</si>
  <si>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</si>
  <si>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</si>
  <si>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</si>
  <si>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</si>
  <si>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</si>
  <si>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</si>
  <si>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</si>
  <si>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</si>
  <si>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</si>
  <si>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</si>
  <si>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</si>
  <si>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</si>
  <si>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</si>
  <si>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</si>
  <si>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</si>
  <si>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</si>
  <si>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</si>
  <si>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</si>
  <si>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</si>
  <si>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</si>
  <si>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</si>
  <si>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</si>
  <si>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</si>
  <si>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</si>
  <si>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</si>
  <si>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</si>
  <si>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</si>
  <si>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</si>
  <si>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</si>
  <si>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</si>
  <si>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</si>
  <si>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</si>
  <si>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</si>
  <si>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</si>
  <si>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</si>
  <si>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</si>
  <si>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</si>
  <si>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</si>
  <si>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</si>
  <si>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</si>
  <si>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</si>
  <si>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</si>
  <si>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</si>
  <si>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</si>
  <si>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</si>
  <si>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</si>
  <si>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</si>
  <si>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</si>
  <si>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</si>
  <si>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</si>
  <si>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</si>
  <si>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</si>
  <si>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</si>
  <si>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</si>
  <si>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</si>
  <si>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</si>
  <si>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</si>
  <si>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</si>
  <si>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</si>
  <si>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</si>
  <si>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</si>
  <si>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</si>
  <si>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</si>
  <si>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</si>
  <si>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</si>
  <si>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</si>
  <si>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</si>
  <si>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</si>
  <si>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</si>
  <si>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</si>
  <si>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</si>
  <si>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</si>
  <si>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</si>
  <si>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</si>
  <si>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</si>
  <si>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</si>
  <si>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</si>
  <si>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</si>
  <si>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</si>
  <si>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</si>
  <si>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</si>
  <si>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</si>
  <si>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</si>
  <si>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</si>
  <si>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</si>
  <si>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</si>
  <si>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</si>
  <si>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</si>
  <si>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</si>
  <si>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</si>
  <si>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</si>
  <si>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</si>
  <si>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</si>
  <si>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</si>
  <si>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</si>
  <si>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</si>
  <si>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</si>
  <si>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</si>
  <si>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</si>
  <si>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</si>
  <si>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</si>
  <si>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</si>
  <si>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</si>
  <si>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</si>
  <si>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</si>
  <si>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</si>
  <si>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</si>
  <si>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</si>
  <si>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</si>
  <si>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</si>
  <si>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</si>
  <si>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</si>
  <si>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</si>
  <si>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</si>
  <si>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</si>
  <si>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</si>
  <si>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</si>
  <si>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</si>
  <si>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</si>
  <si>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</si>
  <si>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</si>
  <si>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</si>
  <si>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</si>
  <si>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</si>
  <si>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</si>
  <si>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</si>
  <si>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</si>
  <si>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</si>
  <si>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</si>
  <si>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</si>
  <si>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</si>
  <si>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</si>
  <si>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</si>
  <si>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</si>
  <si>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</si>
  <si>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</si>
  <si>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</si>
  <si>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</si>
  <si>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</si>
  <si>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</si>
  <si>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</si>
  <si>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</si>
  <si>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</si>
  <si>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</si>
  <si>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</si>
  <si>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</si>
  <si>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</si>
  <si>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</si>
  <si>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</si>
  <si>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</si>
  <si>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</si>
  <si>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</si>
  <si>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</si>
  <si>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</si>
  <si>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</si>
  <si>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</si>
  <si>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</si>
  <si>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</si>
  <si>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</si>
  <si>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</si>
  <si>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</si>
  <si>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</si>
  <si>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</si>
  <si>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</si>
  <si>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</si>
  <si>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</si>
  <si>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</si>
  <si>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</si>
  <si>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</si>
  <si>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</si>
  <si>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</si>
  <si>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</si>
  <si>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</si>
  <si>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</si>
  <si>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</si>
  <si>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</si>
  <si>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</si>
  <si>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</si>
  <si>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</si>
  <si>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</si>
  <si>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</si>
  <si>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</si>
  <si>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</si>
  <si>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</si>
  <si>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</si>
  <si>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</si>
  <si>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</si>
  <si>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</si>
  <si>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</si>
  <si>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</si>
  <si>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</si>
  <si>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</si>
  <si>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</si>
  <si>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</si>
  <si>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</si>
  <si>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</si>
  <si>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</si>
  <si>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</si>
  <si>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</si>
  <si>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</si>
  <si>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</si>
  <si>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</si>
  <si>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</si>
  <si>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</si>
  <si>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</si>
  <si>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</si>
  <si>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</si>
  <si>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</si>
  <si>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</si>
  <si>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</si>
  <si>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</si>
  <si>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</si>
  <si>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</si>
  <si>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</si>
  <si>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</si>
  <si>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</si>
  <si>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</si>
  <si>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</si>
  <si>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</si>
  <si>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</si>
  <si>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</si>
  <si>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</si>
  <si>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</si>
  <si>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</si>
  <si>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</si>
  <si>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</si>
  <si>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</si>
  <si>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</si>
  <si>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</si>
  <si>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</si>
  <si>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</si>
  <si>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</si>
  <si>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</si>
  <si>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</si>
  <si>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</si>
  <si>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</si>
  <si>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</si>
  <si>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</si>
  <si>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</si>
  <si>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</si>
  <si>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</si>
  <si>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</si>
  <si>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</si>
  <si>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</si>
  <si>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</si>
  <si>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</si>
  <si>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</si>
  <si>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</si>
  <si>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</si>
  <si>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</si>
  <si>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</si>
  <si>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</si>
  <si>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</si>
  <si>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</si>
  <si>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</si>
  <si>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</si>
  <si>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</si>
  <si>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</si>
  <si>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</si>
  <si>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</si>
  <si>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</si>
  <si>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</si>
  <si>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</si>
  <si>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</si>
  <si>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</si>
  <si>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</si>
  <si>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</si>
  <si>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</si>
  <si>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</si>
  <si>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</si>
  <si>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</si>
  <si>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</si>
  <si>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</si>
  <si>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</si>
  <si>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</si>
  <si>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</si>
  <si>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</si>
  <si>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</si>
  <si>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</si>
  <si>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</si>
  <si>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</si>
  <si>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</si>
  <si>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</si>
  <si>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</si>
  <si>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</si>
  <si>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</si>
  <si>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</si>
  <si>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</si>
  <si>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</si>
  <si>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</si>
  <si>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</si>
  <si>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</si>
  <si>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</si>
  <si>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</si>
  <si>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</si>
  <si>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</si>
  <si>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</si>
  <si>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</si>
  <si>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</si>
  <si>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</si>
  <si>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</si>
  <si>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</si>
  <si>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</si>
  <si>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</si>
  <si>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</si>
  <si>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</si>
  <si>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</si>
  <si>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</si>
  <si>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</si>
  <si>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</si>
  <si>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</si>
  <si>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</si>
  <si>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</si>
  <si>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</si>
  <si>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</si>
  <si>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</si>
  <si>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</si>
  <si>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</si>
  <si>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</si>
  <si>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</si>
  <si>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</si>
  <si>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</si>
  <si>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</si>
  <si>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</si>
  <si>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</si>
  <si>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</si>
  <si>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</si>
  <si>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</si>
  <si>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</si>
  <si>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</si>
  <si>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</si>
  <si>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</si>
  <si>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</si>
  <si>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</si>
  <si>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</si>
  <si>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</si>
  <si>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</si>
  <si>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</si>
  <si>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</si>
  <si>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</si>
  <si>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</si>
  <si>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</si>
  <si>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</si>
  <si>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</si>
  <si>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</si>
  <si>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</si>
  <si>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</si>
  <si>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</si>
  <si>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</si>
  <si>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</si>
  <si>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</si>
  <si>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</si>
  <si>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</si>
  <si>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</si>
  <si>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</si>
  <si>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</si>
  <si>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</si>
  <si>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</si>
  <si>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</si>
  <si>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</si>
  <si>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</si>
  <si>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</si>
  <si>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</si>
  <si>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</si>
  <si>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</si>
  <si>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</si>
  <si>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</si>
  <si>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</si>
  <si>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</si>
  <si>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</si>
  <si>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</si>
  <si>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</si>
  <si>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</si>
  <si>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</si>
  <si>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</si>
  <si>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</si>
  <si>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</si>
  <si>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</si>
  <si>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</si>
  <si>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</si>
  <si>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</si>
  <si>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</si>
  <si>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</si>
  <si>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</si>
  <si>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</si>
  <si>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</si>
  <si>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</si>
  <si>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</si>
  <si>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</si>
  <si>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</si>
  <si>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</si>
  <si>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</si>
  <si>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</si>
  <si>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</si>
  <si>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</si>
  <si>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</si>
  <si>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</si>
  <si>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</si>
  <si>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</si>
  <si>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</si>
  <si>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</si>
  <si>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</si>
  <si>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</si>
  <si>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</si>
  <si>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</si>
  <si>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</si>
  <si>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</si>
  <si>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</si>
  <si>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</si>
  <si>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</si>
  <si>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</si>
  <si>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</si>
  <si>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</si>
  <si>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</si>
  <si>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</si>
  <si>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</si>
  <si>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</si>
  <si>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</si>
  <si>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</si>
  <si>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</si>
  <si>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</si>
  <si>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</si>
  <si>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</si>
  <si>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</si>
  <si>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</si>
  <si>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</si>
  <si>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</si>
  <si>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</si>
  <si>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</si>
  <si>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</si>
  <si>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</si>
  <si>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</si>
  <si>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</si>
  <si>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</si>
  <si>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</si>
  <si>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</si>
  <si>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</si>
  <si>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</si>
  <si>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</si>
  <si>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</si>
  <si>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</si>
  <si>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</si>
  <si>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</si>
  <si>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</si>
  <si>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</si>
  <si>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</si>
  <si>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</si>
  <si>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</si>
  <si>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</si>
  <si>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</si>
  <si>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</si>
  <si>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</si>
  <si>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</si>
  <si>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</si>
  <si>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</si>
  <si>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</si>
  <si>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</si>
  <si>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</si>
  <si>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</si>
  <si>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</si>
  <si>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</si>
  <si>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</si>
  <si>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</si>
  <si>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</si>
  <si>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</si>
  <si>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</si>
  <si>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</si>
  <si>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</si>
  <si>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</si>
  <si>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</si>
  <si>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</si>
  <si>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</si>
  <si>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</si>
  <si>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</si>
  <si>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</si>
  <si>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</si>
  <si>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</si>
  <si>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</si>
  <si>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</si>
  <si>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</si>
  <si>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</si>
  <si>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</si>
  <si>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</si>
  <si>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</si>
  <si>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</si>
  <si>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</si>
  <si>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</si>
  <si>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</si>
  <si>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</si>
  <si>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</si>
  <si>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</si>
  <si>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</si>
  <si>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</si>
  <si>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</si>
  <si>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</si>
  <si>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</si>
  <si>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</si>
  <si>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</si>
  <si>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</si>
  <si>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</si>
  <si>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</si>
  <si>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</si>
  <si>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</si>
  <si>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</si>
  <si>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</si>
  <si>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</si>
  <si>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</si>
  <si>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</si>
  <si>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</si>
  <si>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</si>
  <si>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</si>
  <si>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</si>
  <si>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</si>
  <si>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</si>
  <si>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</si>
  <si>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</si>
  <si>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</si>
  <si>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</si>
  <si>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</si>
  <si>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</si>
  <si>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</si>
  <si>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</si>
  <si>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</si>
  <si>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</si>
  <si>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</si>
  <si>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</si>
  <si>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</si>
  <si>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</si>
  <si>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</si>
  <si>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</si>
  <si>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</si>
  <si>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</si>
  <si>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</si>
  <si>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</si>
  <si>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</si>
  <si>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</si>
  <si>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</si>
  <si>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</si>
  <si>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</si>
  <si>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</si>
  <si>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</si>
  <si>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</si>
  <si>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</si>
  <si>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</si>
  <si>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</si>
  <si>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</si>
  <si>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</si>
  <si>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</si>
  <si>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</si>
  <si>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</si>
  <si>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</si>
  <si>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</si>
  <si>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</si>
  <si>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</si>
  <si>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</si>
  <si>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</si>
  <si>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</si>
  <si>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</si>
  <si>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</si>
  <si>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</si>
  <si>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</si>
  <si>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</si>
  <si>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</si>
  <si>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</si>
  <si>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</si>
  <si>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</si>
  <si>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</si>
  <si>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</si>
  <si>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</si>
  <si>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</si>
  <si>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</si>
  <si>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</si>
  <si>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</si>
  <si>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</si>
  <si>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</si>
  <si>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</si>
  <si>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</si>
  <si>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</si>
  <si>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</si>
  <si>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</si>
  <si>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</si>
  <si>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</si>
  <si>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</si>
  <si>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</si>
  <si>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</si>
  <si>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</si>
  <si>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</si>
  <si>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</si>
  <si>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</si>
  <si>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</si>
  <si>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</si>
  <si>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</si>
  <si>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</si>
  <si>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</si>
  <si>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</si>
  <si>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</si>
  <si>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</si>
  <si>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</si>
  <si>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</si>
  <si>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</si>
  <si>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</si>
  <si>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</si>
  <si>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</si>
  <si>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</si>
  <si>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</si>
  <si>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</si>
  <si>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</si>
  <si>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</si>
  <si>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</si>
  <si>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</si>
  <si>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</si>
  <si>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</si>
  <si>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</si>
  <si>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</si>
  <si>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</si>
  <si>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</si>
  <si>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</si>
  <si>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</si>
  <si>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</si>
  <si>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</si>
  <si>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</si>
  <si>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</si>
  <si>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</si>
  <si>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</si>
  <si>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</si>
  <si>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</si>
  <si>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</si>
  <si>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</si>
  <si>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</si>
  <si>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</si>
  <si>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</si>
  <si>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</si>
  <si>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</si>
  <si>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</si>
  <si>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</si>
  <si>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</si>
  <si>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</si>
  <si>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</si>
  <si>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</si>
  <si>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</si>
  <si>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</si>
  <si>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</si>
  <si>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</si>
  <si>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</si>
  <si>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</si>
  <si>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</si>
  <si>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</si>
  <si>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</si>
  <si>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</si>
  <si>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</si>
  <si>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</si>
  <si>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</si>
  <si>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</si>
  <si>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</si>
  <si>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</si>
  <si>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</si>
  <si>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</si>
  <si>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</si>
  <si>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</si>
  <si>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</si>
  <si>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</si>
  <si>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</si>
  <si>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</si>
  <si>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</si>
  <si>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</si>
  <si>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</si>
  <si>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</si>
  <si>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</si>
  <si>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</si>
  <si>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</si>
  <si>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</si>
  <si>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</si>
  <si>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</si>
  <si>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</si>
  <si>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</si>
  <si>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</si>
  <si>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</si>
  <si>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</si>
  <si>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</si>
  <si>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</si>
  <si>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</si>
  <si>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</si>
  <si>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</si>
  <si>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</si>
  <si>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</si>
  <si>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</si>
  <si>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</si>
  <si>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</si>
  <si>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</si>
  <si>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</si>
  <si>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</si>
  <si>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</si>
  <si>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</si>
  <si>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</si>
  <si>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</si>
  <si>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</si>
  <si>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</si>
  <si>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</si>
  <si>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</si>
  <si>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</si>
  <si>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</si>
  <si>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</si>
  <si>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</si>
  <si>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</si>
  <si>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</si>
  <si>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</si>
  <si>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</si>
  <si>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</si>
  <si>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</si>
  <si>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</si>
  <si>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</si>
  <si>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</si>
  <si>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</si>
  <si>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</si>
  <si>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</si>
  <si>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</si>
  <si>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</si>
  <si>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</si>
  <si>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</si>
  <si>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</si>
  <si>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</si>
  <si>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</si>
  <si>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</si>
  <si>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</si>
  <si>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</si>
  <si>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</si>
  <si>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</si>
  <si>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</si>
  <si>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</si>
  <si>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</si>
  <si>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</si>
  <si>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</si>
  <si>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</si>
  <si>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</si>
  <si>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</si>
  <si>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</si>
  <si>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</si>
  <si>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</si>
  <si>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</si>
  <si>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</si>
  <si>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</si>
  <si>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</si>
  <si>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</si>
  <si>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</si>
  <si>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</si>
  <si>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</si>
  <si>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</si>
  <si>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</si>
  <si>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</si>
  <si>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</si>
  <si>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</si>
  <si>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</si>
  <si>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</si>
  <si>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</si>
  <si>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</si>
  <si>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</si>
  <si>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</si>
  <si>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</si>
  <si>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</si>
  <si>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</si>
  <si>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</si>
  <si>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</si>
  <si>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</si>
  <si>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</si>
  <si>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</si>
  <si>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</si>
  <si>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</si>
  <si>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</si>
  <si>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</si>
  <si>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</si>
  <si>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</si>
  <si>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</si>
  <si>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</si>
  <si>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</si>
  <si>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</si>
  <si>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</si>
  <si>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</si>
  <si>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</si>
  <si>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</si>
  <si>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</si>
  <si>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</si>
  <si>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</si>
  <si>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</si>
  <si>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</si>
  <si>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</si>
  <si>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</si>
  <si>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</si>
  <si>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</si>
  <si>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</si>
  <si>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</si>
  <si>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</si>
  <si>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</si>
  <si>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</si>
  <si>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</si>
  <si>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</si>
  <si>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</si>
  <si>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</si>
  <si>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</si>
  <si>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</si>
  <si>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</si>
  <si>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</si>
  <si>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</si>
  <si>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</si>
  <si>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</si>
  <si>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</si>
  <si>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</si>
  <si>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</si>
  <si>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</si>
  <si>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</si>
  <si>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</si>
  <si>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</si>
  <si>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</si>
  <si>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</si>
  <si>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</si>
  <si>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</si>
  <si>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</si>
  <si>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</si>
  <si>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</si>
  <si>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</si>
  <si>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</si>
  <si>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</si>
  <si>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</si>
  <si>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</si>
  <si>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</si>
  <si>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</si>
  <si>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</si>
  <si>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</si>
  <si>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</si>
  <si>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</si>
  <si>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</si>
  <si>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</si>
  <si>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</si>
  <si>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</si>
  <si>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</si>
  <si>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</si>
  <si>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</si>
  <si>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</si>
  <si>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</si>
  <si>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</si>
  <si>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</si>
  <si>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</si>
  <si>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</si>
  <si>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</si>
  <si>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</si>
  <si>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</si>
  <si>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</si>
  <si>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</si>
  <si>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</si>
  <si>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</si>
  <si>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</si>
  <si>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</si>
  <si>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</si>
  <si>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</si>
  <si>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</si>
  <si>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</si>
  <si>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</si>
  <si>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</si>
  <si>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</si>
  <si>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</si>
  <si>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</si>
  <si>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</si>
  <si>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</si>
  <si>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</si>
  <si>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</si>
  <si>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</si>
  <si>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</si>
  <si>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</si>
  <si>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</si>
  <si>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</si>
  <si>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</si>
  <si>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</si>
  <si>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</si>
  <si>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</si>
  <si>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</si>
  <si>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</si>
  <si>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</si>
  <si>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</si>
  <si>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</si>
  <si>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</si>
  <si>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</si>
  <si>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</si>
  <si>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</si>
  <si>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</si>
  <si>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</si>
  <si>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</si>
  <si>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</si>
  <si>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</si>
  <si>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</si>
  <si>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</si>
  <si>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</si>
  <si>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</si>
  <si>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</si>
  <si>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</si>
  <si>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</si>
  <si>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</si>
  <si>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</si>
  <si>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</si>
  <si>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</si>
  <si>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</si>
  <si>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</si>
  <si>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</si>
  <si>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</si>
  <si>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</si>
  <si>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</si>
  <si>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</si>
  <si>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</si>
  <si>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</si>
  <si>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</si>
  <si>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</si>
  <si>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</si>
  <si>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</si>
  <si>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</si>
  <si>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</si>
  <si>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</si>
  <si>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</si>
  <si>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</si>
  <si>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</si>
  <si>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</si>
  <si>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</si>
  <si>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</si>
  <si>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</si>
  <si>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</si>
  <si>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</si>
  <si>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</si>
  <si>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</si>
  <si>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</si>
  <si>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</si>
  <si>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</si>
  <si>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</si>
  <si>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</si>
  <si>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</si>
  <si>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</si>
  <si>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</si>
  <si>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</si>
  <si>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</si>
  <si>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</si>
  <si>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</si>
  <si>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</si>
  <si>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</si>
  <si>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</si>
  <si>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</si>
  <si>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</si>
  <si>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</si>
  <si>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</si>
  <si>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</si>
  <si>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</si>
  <si>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</si>
  <si>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</si>
  <si>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</si>
  <si>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</si>
  <si>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</si>
  <si>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</si>
  <si>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</si>
  <si>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</si>
  <si>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</si>
  <si>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</si>
  <si>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</si>
  <si>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</si>
  <si>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</si>
  <si>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</si>
  <si>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</si>
  <si>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</si>
  <si>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</si>
  <si>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</si>
  <si>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</si>
  <si>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</si>
  <si>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</si>
  <si>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</si>
  <si>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</si>
  <si>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</si>
  <si>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</si>
  <si>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</si>
  <si>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</si>
  <si>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</si>
  <si>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</si>
  <si>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</si>
  <si>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</si>
  <si>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</si>
  <si>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</si>
  <si>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</si>
  <si>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</si>
  <si>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</si>
  <si>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</si>
  <si>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</si>
  <si>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</si>
  <si>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</si>
  <si>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</si>
  <si>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</si>
  <si>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</si>
  <si>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</si>
  <si>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</si>
  <si>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</si>
  <si>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</si>
  <si>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</si>
  <si>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</si>
  <si>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</si>
  <si>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</si>
  <si>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</si>
  <si>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</si>
  <si>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</si>
  <si>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</si>
  <si>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</si>
  <si>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</si>
  <si>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</si>
  <si>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</si>
  <si>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</si>
  <si>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</si>
  <si>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</si>
  <si>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</si>
  <si>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</si>
  <si>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</si>
  <si>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</si>
  <si>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</si>
  <si>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</si>
  <si>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</si>
  <si>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</si>
  <si>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</si>
  <si>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</si>
  <si>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</si>
  <si>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</si>
  <si>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</si>
  <si>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</si>
  <si>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</si>
  <si>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</si>
  <si>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</si>
  <si>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</si>
  <si>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</si>
  <si>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</si>
  <si>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</si>
  <si>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</si>
  <si>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</si>
  <si>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</si>
  <si>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</si>
  <si>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</si>
  <si>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</si>
  <si>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</si>
  <si>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</si>
  <si>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</si>
  <si>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</si>
  <si>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</si>
  <si>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</si>
  <si>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</si>
  <si>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</si>
  <si>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</si>
  <si>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</si>
  <si>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</si>
  <si>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</si>
  <si>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</si>
  <si>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</si>
  <si>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</si>
  <si>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</si>
  <si>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</si>
  <si>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</si>
  <si>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</si>
  <si>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</si>
  <si>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</si>
  <si>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</si>
  <si>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</si>
  <si>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</si>
  <si>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</si>
  <si>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</si>
  <si>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</si>
  <si>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</si>
  <si>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</si>
  <si>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</si>
  <si>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</si>
  <si>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</si>
  <si>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</si>
  <si>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</si>
  <si>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</si>
  <si>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</si>
  <si>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</si>
  <si>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</si>
  <si>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</si>
  <si>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</si>
  <si>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</si>
  <si>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</si>
  <si>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</si>
  <si>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</si>
  <si>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</si>
  <si>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</si>
  <si>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</si>
  <si>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</si>
  <si>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</si>
  <si>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</si>
  <si>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</si>
  <si>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</si>
  <si>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</si>
  <si>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</si>
  <si>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</si>
  <si>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</si>
  <si>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</si>
  <si>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</si>
  <si>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</si>
  <si>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</si>
  <si>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</si>
  <si>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</si>
  <si>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</si>
  <si>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</si>
  <si>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</si>
  <si>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</si>
  <si>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</si>
  <si>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</si>
  <si>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</si>
  <si>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</si>
  <si>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</si>
  <si>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</si>
  <si>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</si>
  <si>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</si>
  <si>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</si>
  <si>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</si>
  <si>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</si>
  <si>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</si>
  <si>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</si>
  <si>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</si>
  <si>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</si>
  <si>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</si>
  <si>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</si>
  <si>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</si>
  <si>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</si>
  <si>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</si>
  <si>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</si>
  <si>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</si>
  <si>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</si>
  <si>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</si>
  <si>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</si>
  <si>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</si>
  <si>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</si>
  <si>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</si>
  <si>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</si>
  <si>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</si>
  <si>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</si>
  <si>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</si>
  <si>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</si>
  <si>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</si>
  <si>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</si>
  <si>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</si>
  <si>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</si>
  <si>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</si>
  <si>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</si>
  <si>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</si>
  <si>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</si>
  <si>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</si>
  <si>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</si>
  <si>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</si>
  <si>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</si>
  <si>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</si>
  <si>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</si>
  <si>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</si>
  <si>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</si>
  <si>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</si>
  <si>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</si>
  <si>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</si>
  <si>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</si>
  <si>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</si>
  <si>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</si>
  <si>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</si>
  <si>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</si>
  <si>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</si>
  <si>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</si>
  <si>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</si>
  <si>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</si>
  <si>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</si>
  <si>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</si>
  <si>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</si>
  <si>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</si>
  <si>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</si>
  <si>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</si>
  <si>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</si>
  <si>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</si>
  <si>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</si>
  <si>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</si>
  <si>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</si>
  <si>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</si>
  <si>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</si>
  <si>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</si>
  <si>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</si>
  <si>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</si>
  <si>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</si>
  <si>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</si>
  <si>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</si>
  <si>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</si>
  <si>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</si>
  <si>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</si>
  <si>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</si>
  <si>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</si>
  <si>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</si>
  <si>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</si>
  <si>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</si>
  <si>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</si>
  <si>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</si>
  <si>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</si>
  <si>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</si>
  <si>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</si>
  <si>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</si>
  <si>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</si>
  <si>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</si>
  <si>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</si>
  <si>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</si>
  <si>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</si>
  <si>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</si>
  <si>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</si>
  <si>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</si>
  <si>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</si>
  <si>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</si>
  <si>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</si>
  <si>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</si>
  <si>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</si>
  <si>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</si>
  <si>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</si>
  <si>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</si>
  <si>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</si>
  <si>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</si>
  <si>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</si>
  <si>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</si>
  <si>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</si>
  <si>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</si>
  <si>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</si>
  <si>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</si>
  <si>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</si>
  <si>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</si>
  <si>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</si>
  <si>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</si>
  <si>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</si>
  <si>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</si>
  <si>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</si>
  <si>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</si>
  <si>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</si>
  <si>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</si>
  <si>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</si>
  <si>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</si>
  <si>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</si>
  <si>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</si>
  <si>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</si>
  <si>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</si>
  <si>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</si>
  <si>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</si>
  <si>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</si>
  <si>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</si>
  <si>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</si>
  <si>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</si>
  <si>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</si>
  <si>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</si>
  <si>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</si>
  <si>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</si>
  <si>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</si>
  <si>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</si>
  <si>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</si>
  <si>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</si>
  <si>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</si>
  <si>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</si>
  <si>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</si>
  <si>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</si>
  <si>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</si>
  <si>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</si>
  <si>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</si>
  <si>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</si>
  <si>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</si>
  <si>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</si>
  <si>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</si>
  <si>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</si>
  <si>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</si>
  <si>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</si>
  <si>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</si>
  <si>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</si>
  <si>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</si>
  <si>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</si>
  <si>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</si>
  <si>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</si>
  <si>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</si>
  <si>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</si>
  <si>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</si>
  <si>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</si>
  <si>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</si>
  <si>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</si>
  <si>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</si>
  <si>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</si>
  <si>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</si>
  <si>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</si>
  <si>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</si>
  <si>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</si>
  <si>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</si>
  <si>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</si>
  <si>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</si>
  <si>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</si>
  <si>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</si>
  <si>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</si>
  <si>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</si>
  <si>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</si>
  <si>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</si>
  <si>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</si>
  <si>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</si>
  <si>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</si>
  <si>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</si>
  <si>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</si>
  <si>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</si>
  <si>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</si>
  <si>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</si>
  <si>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</si>
  <si>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</si>
  <si>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</si>
  <si>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</si>
  <si>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</si>
  <si>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</si>
  <si>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</si>
  <si>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</si>
  <si>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</si>
  <si>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</si>
  <si>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</si>
  <si>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</si>
  <si>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</si>
  <si>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</si>
  <si>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</si>
  <si>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</si>
  <si>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</si>
  <si>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</si>
  <si>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</si>
  <si>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</si>
  <si>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</si>
  <si>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</si>
  <si>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</si>
  <si>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</si>
  <si>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</si>
  <si>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</si>
  <si>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</si>
  <si>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</si>
  <si>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</si>
  <si>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</si>
  <si>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</si>
  <si>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</si>
  <si>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</si>
  <si>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</si>
  <si>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</si>
  <si>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</si>
  <si>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</si>
  <si>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</si>
  <si>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</si>
  <si>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</si>
  <si>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</si>
  <si>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</si>
  <si>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</si>
  <si>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</si>
  <si>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</si>
  <si>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</si>
  <si>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</si>
  <si>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</si>
  <si>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</si>
  <si>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</si>
  <si>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</si>
  <si>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</si>
  <si>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</si>
  <si>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</si>
  <si>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</si>
  <si>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</si>
  <si>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</si>
  <si>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</si>
  <si>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</si>
  <si>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</si>
  <si>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</si>
  <si>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</si>
  <si>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</si>
  <si>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</si>
  <si>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</si>
  <si>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</si>
  <si>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</si>
  <si>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</si>
  <si>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</si>
  <si>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</si>
  <si>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</si>
  <si>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</si>
  <si>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</si>
  <si>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</si>
  <si>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</si>
  <si>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</si>
  <si>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</si>
  <si>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</si>
  <si>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</si>
  <si>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</si>
  <si>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</si>
  <si>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</si>
  <si>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</si>
  <si>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</si>
  <si>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</si>
  <si>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</si>
  <si>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</si>
  <si>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</si>
  <si>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</si>
  <si>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</si>
  <si>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</si>
  <si>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</si>
  <si>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</si>
  <si>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</si>
  <si>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</si>
  <si>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</si>
  <si>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</si>
  <si>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</si>
  <si>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</si>
  <si>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</si>
  <si>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</si>
  <si>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</si>
  <si>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</si>
  <si>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</si>
  <si>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</si>
  <si>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</si>
  <si>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</si>
  <si>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</si>
  <si>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</si>
  <si>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</si>
  <si>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</si>
  <si>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</si>
  <si>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</si>
  <si>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</si>
  <si>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</si>
  <si>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</si>
  <si>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</si>
  <si>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</si>
  <si>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</si>
  <si>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</si>
  <si>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</si>
  <si>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</si>
  <si>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</si>
  <si>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</si>
  <si>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</si>
  <si>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</si>
  <si>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</si>
  <si>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</si>
  <si>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</si>
  <si>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</si>
  <si>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</si>
  <si>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</si>
  <si>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</si>
  <si>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</si>
  <si>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</si>
  <si>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</si>
  <si>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</si>
  <si>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</si>
  <si>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</si>
  <si>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</si>
  <si>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</si>
  <si>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</si>
  <si>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</si>
  <si>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</si>
  <si>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</si>
  <si>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</si>
  <si>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</si>
  <si>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</si>
  <si>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</si>
  <si>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</si>
  <si>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</si>
  <si>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</si>
  <si>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</si>
  <si>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</si>
  <si>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</si>
  <si>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</si>
  <si>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</si>
  <si>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</si>
  <si>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</si>
  <si>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</si>
  <si>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</si>
  <si>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</si>
  <si>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</si>
  <si>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</si>
  <si>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</si>
  <si>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</si>
  <si>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</si>
  <si>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</si>
  <si>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</si>
  <si>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</si>
  <si>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</si>
  <si>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</si>
  <si>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</si>
  <si>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</si>
  <si>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</si>
  <si>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</si>
  <si>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</si>
  <si>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</si>
  <si>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</si>
  <si>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</si>
  <si>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</si>
  <si>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</si>
  <si>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</si>
  <si>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</si>
  <si>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</si>
  <si>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</si>
  <si>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</si>
  <si>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</si>
  <si>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</si>
  <si>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</si>
  <si>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</si>
  <si>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</si>
  <si>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</si>
  <si>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</si>
  <si>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</si>
  <si>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</si>
  <si>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</si>
  <si>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</si>
  <si>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</si>
  <si>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</si>
  <si>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</si>
  <si>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</si>
  <si>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</si>
  <si>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</si>
  <si>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</si>
  <si>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</si>
  <si>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</si>
  <si>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</si>
  <si>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</si>
  <si>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</si>
  <si>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</si>
  <si>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</si>
  <si>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</si>
  <si>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</si>
  <si>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</si>
  <si>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</si>
  <si>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</si>
  <si>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</si>
  <si>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</si>
  <si>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</si>
  <si>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</si>
  <si>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</si>
  <si>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</si>
  <si>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</si>
  <si>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</si>
  <si>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</si>
  <si>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</si>
  <si>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</si>
  <si>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</si>
  <si>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</si>
  <si>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</si>
  <si>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</si>
  <si>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</si>
  <si>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</si>
  <si>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</si>
  <si>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</si>
  <si>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</si>
  <si>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</si>
  <si>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</si>
  <si>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</si>
  <si>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</si>
  <si>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</si>
  <si>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</si>
  <si>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</si>
  <si>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</si>
  <si>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</si>
  <si>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</si>
  <si>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</si>
  <si>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</si>
  <si>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</si>
  <si>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</si>
  <si>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</si>
  <si>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</si>
  <si>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</si>
  <si>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</si>
  <si>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</si>
  <si>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</si>
  <si>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</si>
  <si>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</si>
  <si>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</si>
  <si>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</si>
  <si>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</si>
  <si>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</si>
  <si>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</si>
  <si>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</si>
  <si>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</si>
  <si>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</si>
  <si>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</si>
  <si>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</si>
  <si>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</si>
  <si>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</si>
  <si>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</si>
  <si>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</si>
  <si>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</si>
  <si>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</si>
  <si>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</si>
  <si>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</si>
  <si>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</si>
  <si>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</si>
  <si>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</si>
  <si>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</si>
  <si>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</si>
  <si>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</si>
  <si>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</si>
  <si>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</si>
  <si>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</si>
  <si>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</si>
  <si>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</si>
  <si>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</si>
  <si>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</si>
  <si>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</si>
  <si>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</si>
  <si>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</si>
  <si>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</si>
  <si>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</si>
  <si>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</si>
  <si>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</si>
  <si>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</si>
  <si>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</si>
  <si>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</si>
  <si>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</si>
  <si>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</si>
  <si>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</si>
  <si>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</si>
  <si>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</si>
  <si>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</si>
  <si>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</si>
  <si>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</si>
  <si>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</si>
  <si>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</si>
  <si>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</si>
  <si>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</si>
  <si>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</si>
  <si>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</si>
  <si>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</si>
  <si>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</si>
  <si>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</si>
  <si>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</si>
  <si>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</si>
  <si>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</si>
  <si>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</si>
  <si>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</si>
  <si>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</si>
  <si>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</si>
  <si>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</si>
  <si>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</si>
  <si>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</si>
  <si>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</si>
  <si>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</si>
  <si>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</si>
  <si>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</si>
  <si>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</si>
  <si>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</si>
  <si>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</si>
  <si>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</si>
  <si>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</si>
  <si>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</si>
  <si>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</si>
  <si>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</si>
  <si>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</si>
  <si>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</si>
  <si>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</si>
  <si>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</si>
  <si>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</si>
  <si>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</si>
  <si>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</si>
  <si>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</si>
  <si>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</si>
  <si>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</si>
  <si>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</si>
  <si>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</si>
  <si>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</si>
  <si>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</si>
  <si>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</si>
  <si>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</si>
  <si>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</si>
  <si>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</si>
  <si>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</si>
  <si>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</si>
  <si>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</si>
  <si>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</si>
  <si>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</si>
  <si>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</si>
  <si>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</si>
  <si>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</si>
  <si>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</si>
  <si>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</si>
  <si>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</si>
  <si>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</si>
  <si>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</si>
  <si>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</si>
  <si>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</si>
  <si>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</si>
  <si>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</si>
  <si>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</si>
  <si>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</si>
  <si>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</si>
  <si>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</si>
  <si>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</si>
  <si>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</si>
  <si>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</si>
  <si>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</si>
  <si>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</si>
  <si>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</si>
  <si>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</si>
  <si>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</si>
  <si>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</si>
  <si>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</si>
  <si>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</si>
  <si>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</si>
  <si>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</si>
  <si>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</si>
  <si>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</si>
  <si>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</si>
  <si>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</si>
  <si>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</si>
  <si>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</si>
  <si>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</si>
  <si>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</si>
  <si>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</si>
  <si>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</si>
  <si>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</si>
  <si>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</si>
  <si>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</si>
  <si>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</si>
  <si>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</si>
  <si>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</si>
  <si>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</si>
  <si>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</si>
  <si>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</si>
  <si>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</si>
  <si>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</si>
  <si>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</si>
  <si>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</si>
  <si>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</si>
  <si>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</si>
  <si>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</si>
  <si>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</si>
  <si>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</si>
  <si>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</si>
  <si>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</si>
  <si>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</si>
  <si>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</si>
  <si>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</si>
  <si>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</si>
  <si>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</si>
  <si>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</si>
  <si>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</si>
  <si>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</si>
  <si>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</si>
  <si>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</si>
  <si>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</si>
  <si>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</si>
  <si>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</si>
  <si>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</si>
  <si>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</si>
  <si>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</si>
  <si>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</si>
  <si>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</si>
  <si>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</si>
  <si>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</si>
  <si>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</si>
  <si>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</si>
  <si>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</si>
  <si>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</si>
  <si>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</si>
  <si>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</si>
  <si>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</si>
  <si>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</si>
  <si>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</si>
  <si>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</si>
  <si>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</si>
  <si>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</si>
  <si>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</si>
  <si>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</si>
  <si>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</si>
  <si>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</si>
  <si>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</si>
  <si>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</si>
  <si>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</si>
  <si>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</si>
  <si>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</si>
  <si>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</si>
  <si>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</si>
  <si>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</si>
  <si>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</si>
  <si>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</si>
  <si>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</si>
  <si>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</si>
  <si>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</si>
  <si>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</si>
  <si>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</si>
  <si>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</si>
  <si>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</si>
  <si>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</si>
  <si>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</si>
  <si>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</si>
  <si>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</si>
  <si>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</si>
  <si>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</si>
  <si>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</si>
  <si>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</si>
  <si>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</si>
  <si>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</si>
  <si>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</si>
  <si>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</si>
  <si>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</si>
  <si>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</si>
  <si>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</si>
  <si>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</si>
  <si>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</si>
  <si>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</si>
  <si>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</si>
  <si>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</si>
  <si>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</si>
  <si>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</si>
  <si>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</si>
  <si>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</si>
  <si>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</si>
  <si>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</si>
  <si>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</si>
  <si>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</si>
  <si>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</si>
  <si>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</si>
  <si>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</si>
  <si>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</si>
  <si>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</si>
  <si>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</si>
  <si>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</si>
  <si>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</si>
  <si>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</si>
  <si>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</si>
  <si>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</si>
  <si>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</si>
  <si>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</si>
  <si>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</si>
  <si>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</si>
  <si>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</si>
  <si>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</si>
  <si>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</si>
  <si>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</si>
  <si>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</si>
  <si>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</si>
  <si>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</si>
  <si>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</si>
  <si>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</si>
  <si>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</si>
  <si>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</si>
  <si>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</si>
  <si>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</si>
  <si>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</si>
  <si>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</si>
  <si>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</si>
  <si>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</si>
  <si>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</si>
  <si>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</si>
  <si>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</si>
  <si>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</si>
  <si>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</si>
  <si>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</si>
  <si>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</si>
  <si>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</si>
  <si>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</si>
  <si>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</si>
  <si>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</si>
  <si>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</si>
  <si>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</si>
  <si>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</si>
  <si>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</si>
  <si>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</si>
  <si>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</si>
  <si>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</si>
  <si>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</si>
  <si>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</si>
  <si>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</si>
  <si>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</si>
  <si>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</si>
  <si>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</si>
  <si>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</si>
  <si>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</si>
  <si>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</si>
  <si>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</si>
  <si>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</si>
  <si>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</si>
  <si>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</si>
  <si>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</si>
  <si>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</si>
  <si>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</si>
  <si>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</si>
  <si>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</si>
  <si>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</si>
  <si>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</si>
  <si>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</si>
  <si>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</si>
  <si>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</si>
  <si>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</si>
  <si>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</si>
  <si>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</si>
  <si>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</si>
  <si>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</si>
  <si>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</si>
  <si>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</si>
  <si>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</si>
  <si>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</si>
  <si>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</si>
  <si>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</si>
  <si>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</si>
  <si>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</si>
  <si>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</si>
  <si>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</si>
  <si>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</si>
  <si>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</si>
  <si>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</si>
  <si>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</si>
  <si>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</si>
  <si>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</si>
  <si>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</si>
  <si>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</si>
  <si>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</si>
  <si>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</si>
  <si>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</si>
  <si>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</si>
  <si>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</si>
  <si>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</si>
  <si>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</si>
  <si>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</si>
  <si>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</si>
  <si>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</si>
  <si>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</si>
  <si>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</si>
  <si>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</si>
  <si>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</si>
  <si>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</si>
  <si>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</si>
  <si>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</si>
  <si>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</si>
  <si>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</si>
  <si>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</si>
  <si>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</si>
  <si>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</si>
  <si>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</si>
  <si>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</si>
  <si>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</si>
  <si>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</si>
  <si>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</si>
  <si>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</si>
  <si>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</si>
  <si>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</si>
  <si>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</si>
  <si>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</si>
  <si>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</si>
  <si>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</si>
  <si>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</si>
  <si>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</si>
  <si>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</si>
  <si>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</si>
  <si>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</si>
  <si>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</si>
  <si>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</si>
  <si>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</si>
  <si>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</si>
  <si>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</si>
  <si>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</si>
  <si>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</si>
  <si>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</si>
  <si>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</si>
  <si>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</si>
  <si>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</si>
  <si>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</si>
  <si>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</si>
  <si>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</si>
  <si>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</si>
  <si>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</si>
  <si>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</si>
  <si>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</si>
  <si>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</si>
  <si>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</si>
  <si>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</si>
  <si>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</si>
  <si>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</si>
  <si>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</si>
  <si>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</si>
  <si>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</si>
  <si>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</si>
  <si>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</si>
  <si>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</si>
  <si>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</si>
  <si>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</si>
  <si>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</si>
  <si>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</si>
  <si>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</si>
  <si>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</si>
  <si>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</si>
  <si>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</si>
  <si>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</si>
  <si>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</si>
  <si>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</si>
  <si>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</si>
  <si>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</si>
  <si>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</si>
  <si>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</si>
  <si>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</si>
  <si>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</si>
  <si>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</si>
  <si>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</si>
  <si>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</si>
  <si>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</si>
  <si>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</si>
  <si>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</si>
  <si>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</si>
  <si>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</si>
  <si>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</si>
  <si>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</si>
  <si>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</si>
  <si>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</si>
  <si>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</si>
  <si>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</si>
  <si>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</si>
  <si>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</si>
  <si>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</si>
  <si>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</si>
  <si>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</si>
  <si>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</si>
  <si>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</si>
  <si>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</si>
  <si>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</si>
  <si>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</si>
  <si>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</si>
  <si>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</si>
  <si>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</si>
  <si>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</si>
  <si>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</si>
  <si>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</si>
  <si>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</si>
  <si>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</si>
  <si>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</si>
  <si>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</si>
  <si>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</si>
  <si>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</si>
  <si>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</si>
  <si>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</si>
  <si>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</si>
  <si>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</si>
  <si>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</si>
  <si>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</si>
  <si>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</si>
  <si>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</si>
  <si>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</si>
  <si>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</si>
  <si>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</si>
  <si>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</si>
  <si>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</si>
  <si>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</si>
  <si>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</si>
  <si>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</si>
  <si>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</si>
  <si>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</si>
  <si>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</si>
  <si>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</si>
  <si>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</si>
  <si>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</si>
  <si>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</si>
  <si>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</si>
  <si>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</si>
  <si>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</si>
  <si>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</si>
  <si>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</si>
  <si>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</si>
  <si>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</si>
  <si>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</si>
  <si>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</si>
  <si>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</si>
  <si>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</si>
  <si>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</si>
  <si>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</si>
  <si>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</si>
  <si>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</si>
  <si>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</si>
  <si>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</si>
  <si>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</si>
  <si>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</si>
  <si>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</si>
  <si>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</si>
  <si>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</si>
  <si>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</si>
  <si>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</si>
  <si>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</si>
  <si>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</si>
  <si>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</si>
  <si>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</si>
  <si>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</si>
  <si>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</si>
  <si>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</si>
  <si>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</si>
  <si>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</si>
  <si>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</si>
  <si>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</si>
  <si>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</si>
  <si>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</si>
  <si>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</si>
  <si>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</si>
  <si>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</si>
  <si>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</si>
  <si>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</si>
  <si>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</si>
  <si>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</si>
  <si>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</si>
  <si>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</si>
  <si>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</si>
  <si>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</si>
  <si>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</si>
  <si>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</si>
  <si>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</si>
  <si>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</si>
  <si>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</si>
  <si>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</si>
  <si>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</si>
  <si>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</si>
  <si>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</si>
  <si>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</si>
  <si>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</si>
  <si>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</si>
  <si>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</si>
  <si>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</si>
  <si>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</si>
  <si>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</si>
  <si>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</si>
  <si>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</si>
  <si>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</si>
  <si>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</si>
  <si>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</si>
  <si>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</si>
  <si>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</si>
  <si>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</si>
  <si>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</si>
  <si>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</si>
  <si>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</si>
  <si>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</si>
  <si>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</si>
  <si>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</si>
  <si>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</si>
  <si>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</si>
  <si>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</si>
  <si>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</si>
  <si>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</si>
  <si>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</si>
  <si>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</si>
  <si>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</si>
  <si>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</si>
  <si>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</si>
  <si>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</si>
  <si>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</si>
  <si>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</si>
  <si>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</si>
  <si>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</si>
  <si>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</si>
  <si>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</si>
  <si>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</si>
  <si>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</si>
  <si>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</si>
  <si>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</si>
  <si>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</si>
  <si>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</si>
  <si>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</si>
  <si>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</si>
  <si>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</si>
  <si>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</si>
  <si>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</si>
  <si>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</si>
  <si>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</si>
  <si>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</si>
  <si>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</si>
  <si>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</si>
  <si>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</si>
  <si>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</si>
  <si>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</si>
  <si>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</si>
  <si>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</si>
  <si>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</si>
  <si>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</si>
  <si>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</si>
  <si>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</si>
  <si>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</si>
  <si>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</si>
  <si>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</si>
  <si>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</si>
  <si>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</si>
  <si>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</si>
  <si>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</si>
  <si>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</si>
  <si>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</si>
  <si>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</si>
  <si>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</si>
  <si>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</si>
  <si>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</si>
  <si>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</si>
  <si>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</si>
  <si>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</si>
  <si>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</si>
  <si>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</si>
  <si>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</si>
  <si>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</si>
  <si>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</si>
  <si>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</si>
  <si>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</si>
  <si>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</si>
  <si>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</si>
  <si>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</si>
  <si>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</si>
  <si>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</si>
  <si>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</si>
  <si>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</si>
  <si>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</si>
  <si>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</si>
  <si>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</si>
  <si>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</si>
  <si>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</si>
  <si>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</si>
  <si>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</si>
  <si>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</si>
  <si>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</si>
  <si>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</si>
  <si>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</si>
  <si>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</si>
  <si>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</si>
  <si>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</si>
  <si>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</si>
  <si>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</si>
  <si>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</si>
  <si>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</si>
  <si>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</si>
  <si>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</si>
  <si>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</si>
  <si>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</si>
  <si>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</si>
  <si>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</si>
  <si>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</si>
  <si>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</si>
  <si>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</si>
  <si>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</si>
  <si>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</si>
  <si>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</si>
  <si>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</si>
  <si>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</si>
  <si>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</si>
  <si>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</si>
  <si>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</si>
  <si>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</si>
  <si>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</si>
  <si>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</si>
  <si>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</si>
  <si>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</si>
  <si>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</si>
  <si>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</si>
  <si>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</si>
  <si>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</si>
  <si>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</si>
  <si>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</si>
  <si>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</si>
  <si>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</si>
  <si>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</si>
  <si>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</si>
  <si>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</si>
  <si>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</si>
  <si>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</si>
  <si>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</si>
  <si>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</si>
  <si>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</si>
  <si>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</si>
  <si>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</si>
  <si>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</si>
  <si>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</si>
  <si>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</si>
  <si>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</si>
  <si>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</si>
  <si>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</si>
  <si>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</si>
  <si>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</si>
  <si>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</si>
  <si>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</si>
  <si>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</si>
  <si>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</si>
  <si>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</si>
  <si>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</si>
  <si>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</si>
  <si>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</si>
  <si>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</si>
  <si>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</si>
  <si>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</si>
  <si>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</si>
  <si>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</si>
  <si>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</si>
  <si>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</si>
  <si>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</si>
  <si>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</si>
  <si>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</si>
  <si>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</si>
  <si>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</si>
  <si>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</si>
  <si>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</si>
  <si>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</si>
  <si>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</si>
  <si>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</si>
  <si>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</si>
  <si>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</si>
  <si>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</si>
  <si>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</si>
  <si>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</si>
  <si>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</si>
  <si>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</si>
  <si>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</si>
  <si>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</si>
  <si>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</si>
  <si>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</si>
  <si>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</si>
  <si>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</si>
  <si>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</si>
  <si>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</si>
  <si>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</si>
  <si>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</si>
  <si>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</si>
  <si>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</si>
  <si>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</si>
  <si>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</si>
  <si>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</si>
  <si>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</si>
  <si>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</si>
  <si>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</si>
  <si>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</si>
  <si>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</si>
  <si>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</si>
  <si>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</si>
  <si>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</si>
  <si>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</si>
  <si>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</si>
  <si>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</si>
  <si>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</si>
  <si>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</si>
  <si>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</si>
  <si>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</si>
  <si>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</si>
  <si>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</si>
  <si>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</si>
  <si>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</si>
  <si>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</si>
  <si>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</si>
  <si>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</si>
  <si>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</si>
  <si>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</si>
  <si>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</si>
  <si>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</si>
  <si>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</si>
  <si>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</si>
  <si>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</si>
  <si>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</si>
  <si>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</si>
  <si>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</si>
  <si>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</si>
  <si>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</si>
  <si>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</si>
  <si>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</si>
  <si>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</si>
  <si>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</si>
  <si>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</si>
  <si>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</si>
  <si>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</si>
  <si>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</si>
  <si>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</si>
  <si>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</si>
  <si>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</si>
  <si>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</si>
  <si>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</si>
  <si>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</si>
  <si>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</si>
  <si>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</si>
  <si>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</si>
  <si>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</si>
  <si>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</si>
  <si>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</si>
  <si>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</si>
  <si>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</si>
  <si>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</si>
  <si>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</si>
  <si>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</si>
  <si>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</si>
  <si>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</si>
  <si>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</si>
  <si>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</si>
  <si>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</si>
  <si>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</si>
  <si>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</si>
  <si>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</si>
  <si>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</si>
  <si>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</si>
  <si>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</si>
  <si>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</si>
  <si>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</si>
  <si>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</si>
  <si>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</si>
  <si>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</si>
  <si>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</si>
  <si>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</si>
  <si>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</si>
  <si>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</si>
  <si>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</si>
  <si>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</si>
  <si>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</si>
  <si>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</si>
  <si>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</si>
  <si>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</si>
  <si>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</si>
  <si>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</si>
  <si>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</si>
  <si>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</si>
  <si>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</si>
  <si>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</si>
  <si>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</si>
  <si>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</si>
  <si>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</si>
  <si>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</si>
  <si>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</si>
  <si>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</si>
  <si>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</si>
  <si>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</si>
  <si>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</si>
  <si>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</si>
  <si>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</si>
  <si>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</si>
  <si>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</si>
  <si>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</si>
  <si>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</si>
  <si>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</si>
  <si>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</si>
  <si>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</si>
  <si>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</si>
  <si>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</si>
  <si>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</si>
  <si>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</si>
  <si>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</si>
  <si>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</si>
  <si>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</si>
  <si>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</si>
  <si>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</si>
  <si>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</si>
  <si>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</si>
  <si>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</si>
  <si>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</si>
  <si>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</si>
  <si>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</si>
  <si>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</si>
  <si>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</si>
  <si>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</si>
  <si>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</si>
  <si>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</si>
  <si>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</si>
  <si>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</si>
  <si>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</si>
  <si>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</si>
  <si>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</si>
  <si>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</si>
  <si>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</si>
  <si>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</si>
  <si>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</si>
  <si>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</si>
  <si>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</si>
  <si>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</si>
  <si>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</si>
  <si>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</si>
  <si>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</si>
  <si>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</si>
  <si>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</si>
  <si>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</si>
  <si>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</si>
  <si>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</si>
  <si>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</si>
  <si>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</si>
  <si>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</si>
  <si>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</si>
  <si>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</si>
  <si>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</si>
  <si>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</si>
  <si>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</si>
  <si>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</si>
  <si>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</si>
  <si>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</si>
  <si>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</si>
  <si>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</si>
  <si>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</si>
  <si>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</si>
  <si>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</si>
  <si>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</si>
  <si>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</si>
  <si>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</si>
  <si>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</si>
  <si>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</si>
  <si>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</si>
  <si>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</si>
  <si>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</si>
  <si>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</si>
  <si>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</si>
  <si>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</si>
  <si>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</si>
  <si>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</si>
  <si>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</si>
  <si>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</si>
  <si>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</si>
  <si>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</si>
  <si>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</si>
  <si>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</si>
  <si>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</si>
  <si>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</si>
  <si>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</si>
  <si>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</si>
  <si>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</si>
  <si>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</si>
  <si>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</si>
  <si>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</si>
  <si>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</si>
  <si>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</si>
  <si>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</si>
  <si>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</si>
  <si>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</si>
  <si>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</si>
  <si>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</si>
  <si>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</si>
  <si>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</si>
  <si>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</si>
  <si>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</si>
  <si>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</si>
  <si>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</si>
  <si>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</si>
  <si>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</si>
  <si>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</si>
  <si>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</si>
  <si>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</si>
  <si>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</si>
  <si>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</si>
  <si>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</si>
  <si>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</si>
  <si>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</si>
  <si>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</si>
  <si>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</si>
  <si>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</si>
  <si>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</si>
  <si>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</si>
  <si>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</si>
  <si>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</si>
  <si>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</si>
  <si>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</si>
  <si>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</si>
  <si>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</si>
  <si>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</si>
  <si>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</si>
  <si>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</si>
  <si>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</si>
  <si>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</si>
  <si>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</si>
  <si>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</si>
  <si>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</si>
  <si>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</si>
  <si>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</si>
  <si>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</si>
  <si>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</si>
  <si>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</si>
  <si>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</si>
  <si>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</si>
  <si>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</si>
  <si>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</si>
  <si>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</si>
  <si>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</si>
  <si>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</si>
  <si>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</si>
  <si>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</si>
  <si>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</si>
  <si>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</si>
  <si>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</si>
  <si>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</si>
  <si>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</si>
  <si>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</si>
  <si>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</si>
  <si>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</si>
  <si>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</si>
  <si>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</si>
  <si>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</si>
  <si>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</si>
  <si>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</si>
  <si>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</si>
  <si>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</si>
  <si>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</si>
  <si>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</si>
  <si>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</si>
  <si>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</si>
  <si>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</si>
  <si>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</si>
  <si>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</si>
  <si>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</si>
  <si>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</si>
  <si>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</si>
  <si>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</si>
  <si>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</si>
  <si>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</si>
  <si>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</si>
  <si>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</si>
  <si>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</si>
  <si>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</si>
  <si>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</si>
  <si>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</si>
  <si>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</si>
  <si>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</si>
  <si>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</si>
  <si>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</si>
  <si>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</si>
  <si>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</si>
  <si>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</si>
  <si>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</si>
  <si>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</si>
  <si>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</si>
  <si>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</si>
  <si>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</si>
  <si>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</si>
  <si>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</si>
  <si>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</si>
  <si>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</si>
  <si>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</si>
  <si>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</si>
  <si>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</si>
  <si>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</si>
  <si>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</si>
  <si>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</si>
  <si>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</si>
  <si>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</si>
  <si>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</si>
  <si>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</si>
  <si>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</si>
  <si>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</si>
  <si>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</si>
  <si>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</si>
  <si>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</si>
  <si>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</si>
  <si>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</si>
  <si>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</si>
  <si>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</si>
  <si>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</si>
  <si>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</si>
  <si>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</si>
  <si>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</si>
  <si>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</si>
  <si>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</si>
  <si>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</si>
  <si>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</si>
  <si>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</si>
  <si>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</si>
  <si>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</si>
  <si>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</si>
  <si>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</si>
  <si>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</si>
  <si>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</si>
  <si>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</si>
  <si>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</si>
  <si>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</si>
  <si>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</si>
  <si>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</si>
  <si>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</si>
  <si>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</si>
  <si>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</si>
  <si>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</si>
  <si>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</si>
  <si>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</si>
  <si>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</si>
  <si>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</si>
  <si>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</si>
  <si>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</si>
  <si>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</si>
  <si>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</si>
  <si>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</si>
  <si>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</si>
  <si>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</si>
  <si>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</si>
  <si>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</si>
  <si>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</si>
  <si>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</si>
  <si>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</si>
  <si>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</si>
  <si>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</si>
  <si>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</si>
  <si>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</si>
  <si>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</si>
  <si>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</si>
  <si>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</si>
  <si>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</si>
  <si>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</si>
  <si>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</si>
  <si>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</si>
  <si>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</si>
  <si>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</si>
  <si>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</si>
  <si>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</si>
  <si>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</si>
  <si>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</si>
  <si>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</si>
  <si>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</si>
  <si>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</si>
  <si>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</si>
  <si>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</si>
  <si>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</si>
  <si>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</si>
  <si>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</si>
  <si>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</si>
  <si>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</si>
  <si>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</si>
  <si>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</si>
  <si>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</si>
  <si>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</si>
  <si>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</si>
  <si>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</si>
  <si>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</si>
  <si>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</si>
  <si>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</si>
  <si>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</si>
  <si>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</si>
  <si>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</si>
  <si>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</si>
  <si>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</si>
  <si>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</si>
  <si>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</si>
  <si>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</si>
  <si>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</si>
  <si>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</si>
  <si>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</si>
  <si>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</si>
  <si>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</si>
  <si>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</si>
  <si>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</si>
  <si>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</si>
  <si>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</si>
  <si>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</si>
  <si>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</si>
  <si>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</si>
  <si>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</si>
  <si>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</si>
  <si>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</si>
  <si>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</si>
  <si>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</si>
  <si>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</si>
  <si>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</si>
  <si>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</si>
  <si>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</si>
  <si>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</si>
  <si>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</si>
  <si>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</si>
  <si>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</si>
  <si>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</si>
  <si>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</si>
  <si>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</si>
  <si>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</si>
  <si>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</si>
  <si>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</si>
  <si>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</si>
  <si>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</si>
  <si>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</si>
  <si>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</si>
  <si>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</si>
  <si>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</si>
  <si>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</si>
  <si>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</si>
  <si>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</si>
  <si>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</si>
  <si>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</si>
  <si>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</si>
  <si>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</si>
  <si>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</si>
  <si>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</si>
  <si>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</si>
  <si>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</si>
  <si>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</si>
  <si>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</si>
  <si>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</si>
  <si>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</si>
  <si>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</si>
  <si>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</si>
  <si>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</si>
  <si>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</si>
  <si>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</si>
  <si>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</si>
  <si>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</si>
  <si>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</si>
  <si>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</si>
  <si>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</si>
  <si>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</si>
  <si>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</si>
  <si>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</si>
  <si>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</si>
  <si>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</si>
  <si>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</si>
  <si>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</si>
  <si>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</si>
  <si>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</si>
  <si>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</si>
  <si>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</si>
  <si>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</si>
  <si>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</si>
  <si>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</si>
  <si>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</si>
  <si>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</si>
  <si>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</si>
  <si>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</si>
  <si>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</si>
  <si>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</si>
  <si>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</si>
  <si>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</si>
  <si>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</si>
  <si>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</si>
  <si>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</si>
  <si>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</si>
  <si>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</si>
  <si>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</si>
  <si>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</si>
  <si>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</si>
  <si>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</si>
  <si>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</si>
  <si>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</si>
  <si>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</si>
  <si>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</si>
  <si>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</si>
  <si>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</si>
  <si>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</si>
  <si>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</si>
  <si>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</si>
  <si>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</si>
  <si>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</si>
  <si>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</si>
  <si>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</si>
  <si>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</si>
  <si>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</si>
  <si>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</si>
  <si>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</si>
  <si>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</si>
  <si>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</si>
  <si>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</si>
  <si>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</si>
  <si>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</si>
  <si>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</si>
  <si>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</si>
  <si>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</si>
  <si>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</si>
  <si>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</si>
  <si>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</si>
  <si>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</si>
  <si>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</si>
  <si>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</si>
  <si>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</si>
  <si>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</si>
  <si>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</si>
  <si>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</si>
  <si>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</si>
  <si>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</si>
  <si>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</si>
  <si>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</si>
  <si>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</si>
  <si>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</si>
  <si>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</si>
  <si>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</si>
  <si>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</si>
  <si>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</si>
  <si>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</si>
  <si>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</si>
  <si>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</si>
  <si>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</si>
  <si>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</si>
  <si>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</si>
  <si>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</si>
  <si>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</si>
  <si>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</si>
  <si>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</si>
  <si>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</si>
  <si>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</si>
  <si>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</si>
  <si>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</si>
  <si>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</si>
  <si>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</si>
  <si>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</si>
  <si>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</si>
  <si>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</si>
  <si>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</si>
  <si>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</si>
  <si>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</si>
  <si>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</si>
  <si>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</si>
  <si>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</si>
  <si>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</si>
  <si>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</si>
  <si>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</si>
  <si>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</si>
  <si>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</si>
  <si>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</si>
  <si>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</si>
  <si>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</si>
  <si>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</si>
  <si>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</si>
  <si>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</si>
  <si>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</si>
  <si>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</si>
  <si>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</si>
  <si>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</si>
  <si>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</si>
  <si>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</si>
  <si>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</si>
  <si>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</si>
  <si>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</si>
  <si>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</si>
  <si>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</si>
  <si>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</si>
  <si>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</si>
  <si>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</si>
  <si>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</si>
  <si>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</si>
  <si>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</si>
  <si>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</si>
  <si>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</si>
  <si>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</si>
  <si>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</si>
  <si>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</si>
  <si>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</si>
  <si>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</si>
  <si>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</si>
  <si>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</si>
  <si>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</si>
  <si>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</si>
  <si>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</si>
  <si>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</si>
  <si>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</si>
  <si>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</si>
  <si>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</si>
  <si>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</si>
  <si>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</si>
  <si>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</si>
  <si>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</si>
  <si>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</si>
  <si>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</si>
  <si>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</si>
  <si>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</si>
  <si>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</si>
  <si>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</si>
  <si>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</si>
  <si>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</si>
  <si>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</si>
  <si>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</si>
  <si>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</si>
  <si>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</si>
  <si>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</si>
  <si>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</si>
  <si>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</si>
  <si>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</si>
  <si>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</si>
  <si>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</si>
  <si>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</si>
  <si>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</si>
  <si>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</si>
  <si>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</si>
  <si>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</si>
  <si>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</si>
  <si>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</si>
  <si>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</si>
  <si>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</si>
  <si>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</si>
  <si>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</si>
  <si>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</si>
  <si>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</si>
  <si>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</si>
  <si>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</si>
  <si>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</si>
  <si>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</si>
  <si>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</si>
  <si>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</si>
  <si>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</si>
  <si>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</si>
  <si>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</si>
  <si>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</si>
  <si>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</si>
  <si>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</si>
  <si>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</si>
  <si>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</si>
  <si>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</si>
  <si>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</si>
  <si>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</si>
  <si>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</si>
  <si>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</si>
  <si>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</si>
  <si>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</si>
  <si>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</si>
  <si>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</si>
  <si>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</si>
  <si>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</si>
  <si>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</si>
  <si>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</si>
  <si>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</si>
  <si>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</si>
  <si>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</si>
  <si>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</si>
  <si>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</si>
  <si>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</si>
  <si>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</si>
  <si>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</si>
  <si>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</si>
  <si>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</si>
  <si>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</si>
  <si>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</si>
  <si>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</si>
  <si>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</si>
  <si>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</si>
  <si>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</si>
  <si>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</si>
  <si>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</si>
  <si>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</si>
  <si>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</si>
  <si>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</si>
  <si>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</si>
  <si>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</si>
  <si>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</si>
  <si>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</si>
  <si>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</si>
  <si>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</si>
  <si>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</si>
  <si>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</si>
  <si>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</si>
  <si>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</si>
  <si>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</si>
  <si>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</si>
  <si>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</si>
  <si>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</si>
  <si>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</si>
  <si>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</si>
  <si>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</si>
  <si>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</si>
  <si>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</si>
  <si>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</si>
  <si>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</si>
  <si>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</si>
  <si>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</si>
  <si>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</si>
  <si>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</si>
  <si>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</si>
  <si>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</si>
  <si>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</si>
  <si>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</si>
  <si>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</si>
  <si>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</si>
  <si>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</si>
  <si>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</si>
  <si>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</si>
  <si>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</si>
  <si>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</si>
  <si>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</si>
  <si>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</si>
  <si>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</si>
  <si>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</si>
  <si>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</si>
  <si>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</si>
  <si>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</si>
  <si>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</si>
  <si>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</si>
  <si>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</si>
  <si>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</si>
  <si>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</si>
  <si>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</si>
  <si>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</si>
  <si>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</si>
  <si>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</si>
  <si>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</si>
  <si>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</si>
  <si>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</si>
  <si>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</si>
  <si>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</si>
  <si>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</si>
  <si>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</si>
  <si>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</si>
  <si>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</si>
  <si>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</si>
  <si>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</si>
  <si>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</si>
  <si>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</si>
  <si>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</si>
  <si>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</si>
  <si>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</si>
  <si>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</si>
  <si>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</si>
  <si>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</si>
  <si>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</si>
  <si>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</si>
  <si>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</si>
  <si>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</si>
  <si>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</si>
  <si>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</si>
  <si>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</si>
  <si>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</si>
  <si>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</si>
  <si>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</si>
  <si>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</si>
  <si>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</si>
  <si>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</si>
  <si>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</si>
  <si>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</si>
  <si>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</si>
  <si>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</si>
  <si>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</si>
  <si>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</si>
  <si>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</si>
  <si>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</si>
  <si>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</si>
  <si>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</si>
  <si>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</si>
  <si>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</si>
  <si>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</si>
  <si>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</si>
  <si>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</si>
  <si>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</si>
  <si>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</si>
  <si>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</si>
  <si>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</si>
  <si>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</si>
  <si>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</si>
  <si>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</si>
  <si>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</si>
  <si>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</si>
  <si>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</si>
  <si>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</si>
  <si>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</si>
  <si>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</si>
  <si>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</si>
  <si>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</si>
  <si>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</si>
  <si>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</si>
  <si>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</si>
  <si>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</si>
  <si>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</si>
  <si>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</si>
  <si>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</si>
  <si>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</si>
  <si>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</si>
  <si>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</si>
  <si>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</si>
  <si>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</si>
  <si>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</si>
  <si>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</si>
  <si>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</si>
  <si>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</si>
  <si>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</si>
  <si>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</si>
  <si>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</si>
  <si>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</si>
  <si>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</si>
  <si>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</si>
  <si>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</si>
  <si>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</si>
  <si>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</si>
  <si>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</si>
  <si>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</si>
  <si>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</si>
  <si>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</si>
  <si>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</si>
  <si>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</si>
  <si>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</si>
  <si>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</si>
  <si>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</si>
  <si>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</si>
  <si>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</si>
  <si>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</si>
  <si>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</si>
  <si>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</si>
  <si>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</si>
  <si>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</si>
  <si>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</si>
  <si>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</si>
  <si>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</si>
  <si>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</si>
  <si>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</si>
  <si>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</si>
  <si>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</si>
  <si>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</si>
  <si>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</si>
  <si>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</si>
  <si>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</si>
  <si>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</si>
  <si>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</si>
  <si>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</si>
  <si>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</si>
  <si>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</si>
  <si>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</si>
  <si>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</si>
  <si>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</si>
  <si>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</si>
  <si>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</si>
  <si>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</si>
  <si>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</si>
  <si>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</si>
  <si>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</si>
  <si>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</si>
  <si>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</si>
  <si>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</si>
  <si>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</si>
  <si>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</si>
  <si>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</si>
  <si>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</si>
  <si>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</si>
  <si>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</si>
  <si>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</si>
  <si>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</si>
  <si>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</si>
  <si>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</si>
  <si>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</si>
  <si>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</si>
  <si>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</si>
  <si>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</si>
  <si>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</si>
  <si>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</si>
  <si>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</si>
  <si>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</si>
  <si>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</si>
  <si>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</si>
  <si>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</si>
  <si>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</si>
  <si>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</si>
  <si>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</si>
  <si>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</si>
  <si>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</si>
  <si>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</si>
  <si>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</si>
  <si>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</si>
  <si>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</si>
  <si>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</si>
  <si>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</si>
  <si>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</si>
  <si>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</si>
  <si>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</si>
  <si>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</si>
  <si>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</si>
  <si>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</si>
  <si>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</si>
  <si>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</si>
  <si>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</si>
  <si>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</si>
  <si>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</si>
  <si>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</si>
  <si>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</si>
  <si>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</si>
  <si>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</si>
  <si>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</si>
  <si>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</si>
  <si>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</si>
  <si>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</si>
  <si>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</si>
  <si>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</si>
  <si>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</si>
  <si>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</si>
  <si>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</si>
  <si>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</si>
  <si>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</si>
  <si>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</si>
  <si>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</si>
  <si>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</si>
  <si>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</si>
  <si>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</si>
  <si>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</si>
  <si>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</si>
  <si>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</si>
  <si>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</si>
  <si>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</si>
  <si>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</si>
  <si>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</si>
  <si>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</si>
  <si>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</si>
  <si>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</si>
  <si>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</si>
  <si>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</si>
  <si>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</si>
  <si>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</si>
  <si>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</si>
  <si>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</si>
  <si>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</si>
  <si>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</si>
  <si>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</si>
  <si>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</si>
  <si>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</si>
  <si>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</si>
  <si>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</si>
  <si>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</si>
  <si>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</si>
  <si>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</si>
  <si>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</si>
  <si>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</si>
  <si>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</si>
  <si>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</si>
  <si>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</si>
  <si>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</si>
  <si>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</si>
  <si>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</si>
  <si>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</si>
  <si>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</si>
  <si>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</si>
  <si>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</si>
  <si>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</si>
  <si>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</si>
  <si>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</si>
  <si>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</si>
  <si>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</si>
  <si>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</si>
  <si>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</si>
  <si>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</si>
  <si>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</si>
  <si>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</si>
  <si>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</si>
  <si>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</si>
  <si>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</si>
  <si>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</si>
  <si>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</si>
  <si>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</si>
  <si>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</si>
  <si>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</si>
  <si>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</si>
  <si>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</si>
  <si>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</si>
  <si>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</si>
  <si>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</si>
  <si>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</si>
  <si>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</si>
  <si>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</si>
  <si>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</si>
  <si>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</si>
  <si>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</si>
  <si>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</si>
  <si>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</si>
  <si>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</si>
  <si>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</si>
  <si>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</si>
  <si>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</si>
  <si>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</si>
  <si>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</si>
  <si>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</si>
  <si>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</si>
  <si>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</si>
  <si>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</si>
  <si>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</si>
  <si>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</si>
  <si>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</si>
  <si>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</si>
  <si>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</si>
  <si>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</si>
  <si>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</si>
  <si>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</si>
  <si>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</si>
  <si>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</si>
  <si>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</si>
  <si>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</si>
  <si>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</si>
  <si>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</si>
  <si>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</si>
  <si>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</si>
  <si>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</si>
  <si>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</si>
  <si>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</si>
  <si>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</si>
  <si>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</si>
  <si>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</si>
  <si>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</si>
  <si>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</si>
  <si>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</si>
  <si>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</si>
  <si>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</si>
  <si>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</si>
  <si>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</si>
  <si>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</si>
  <si>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</si>
  <si>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</si>
  <si>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</si>
  <si>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</si>
  <si>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</si>
  <si>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</si>
  <si>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</si>
  <si>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</si>
  <si>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</si>
  <si>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</si>
  <si>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</si>
  <si>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</si>
  <si>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</si>
  <si>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</si>
  <si>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</si>
  <si>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</si>
  <si>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</si>
  <si>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</si>
  <si>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</si>
  <si>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</si>
  <si>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</si>
  <si>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</si>
  <si>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</si>
  <si>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</si>
  <si>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</si>
  <si>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</si>
  <si>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</si>
  <si>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</si>
  <si>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</si>
  <si>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</si>
  <si>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</si>
  <si>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</si>
  <si>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</si>
  <si>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</si>
  <si>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</si>
  <si>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</si>
  <si>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</si>
  <si>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</si>
  <si>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</si>
  <si>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</si>
  <si>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</si>
  <si>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</si>
  <si>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</si>
  <si>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</si>
  <si>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</si>
  <si>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</si>
  <si>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</si>
  <si>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</si>
  <si>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</si>
  <si>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</si>
  <si>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</si>
  <si>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</si>
  <si>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</si>
  <si>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</si>
  <si>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</si>
  <si>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</si>
  <si>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</si>
  <si>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</si>
  <si>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</si>
  <si>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</si>
  <si>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</si>
  <si>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</si>
  <si>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</si>
  <si>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</si>
  <si>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</si>
  <si>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</si>
  <si>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</si>
  <si>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</si>
  <si>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</si>
  <si>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</si>
  <si>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</si>
  <si>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</si>
  <si>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</si>
  <si>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</si>
  <si>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</si>
  <si>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</si>
  <si>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</si>
  <si>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</si>
  <si>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</si>
  <si>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</si>
  <si>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</si>
  <si>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</si>
  <si>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</si>
  <si>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</si>
  <si>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</si>
  <si>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</si>
  <si>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</si>
  <si>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</si>
  <si>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</si>
  <si>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</si>
  <si>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</si>
  <si>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</si>
  <si>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</si>
  <si>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</si>
  <si>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</si>
  <si>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</si>
  <si>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</si>
  <si>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</si>
  <si>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</si>
  <si>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</si>
  <si>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</si>
  <si>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</si>
  <si>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</si>
  <si>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</si>
  <si>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</si>
  <si>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</si>
  <si>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</si>
  <si>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</si>
  <si>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</si>
  <si>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</si>
  <si>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</si>
  <si>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</si>
  <si>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</si>
  <si>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</si>
  <si>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</si>
  <si>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</si>
  <si>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</si>
  <si>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</si>
  <si>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</si>
  <si>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</si>
  <si>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</si>
  <si>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</si>
  <si>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</si>
  <si>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</si>
  <si>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</si>
  <si>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</si>
  <si>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</si>
  <si>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</si>
  <si>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</si>
  <si>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</si>
  <si>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</si>
  <si>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</si>
  <si>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</si>
  <si>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</si>
  <si>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</si>
  <si>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</si>
  <si>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</si>
  <si>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</si>
  <si>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</si>
  <si>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</si>
  <si>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</si>
  <si>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</si>
  <si>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</si>
  <si>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</si>
  <si>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</si>
  <si>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</si>
  <si>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</si>
  <si>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</si>
  <si>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</si>
  <si>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</si>
  <si>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</si>
  <si>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</si>
  <si>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</si>
  <si>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</si>
  <si>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</si>
  <si>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</si>
  <si>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</si>
  <si>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</si>
  <si>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</si>
  <si>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</si>
  <si>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</si>
  <si>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</si>
  <si>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</si>
  <si>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</si>
  <si>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</si>
  <si>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</si>
  <si>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</si>
  <si>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</si>
  <si>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</si>
  <si>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</si>
  <si>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</si>
  <si>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</si>
  <si>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</si>
  <si>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</si>
  <si>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</si>
  <si>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</si>
  <si>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</si>
  <si>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</si>
  <si>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</si>
  <si>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</si>
  <si>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</si>
  <si>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</si>
  <si>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</si>
  <si>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</si>
  <si>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</si>
  <si>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</si>
  <si>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</si>
  <si>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</si>
  <si>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</si>
  <si>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</si>
  <si>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</si>
  <si>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</si>
  <si>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</si>
  <si>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</si>
  <si>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</si>
  <si>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</si>
  <si>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</si>
  <si>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</si>
  <si>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</si>
  <si>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</si>
  <si>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</si>
  <si>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</si>
  <si>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</si>
  <si>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</si>
  <si>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</si>
  <si>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</si>
  <si>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</si>
  <si>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</si>
  <si>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</si>
  <si>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</si>
  <si>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</si>
  <si>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</si>
  <si>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</si>
  <si>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</si>
  <si>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</si>
  <si>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</si>
  <si>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</si>
  <si>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</si>
  <si>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</si>
  <si>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</si>
  <si>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</si>
  <si>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</si>
  <si>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</si>
  <si>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</si>
  <si>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</si>
  <si>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</si>
  <si>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</si>
  <si>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</si>
  <si>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</si>
  <si>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</si>
  <si>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</si>
  <si>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</si>
  <si>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</si>
  <si>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</si>
  <si>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</si>
  <si>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</si>
  <si>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</si>
  <si>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</si>
  <si>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</si>
  <si>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</si>
  <si>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</si>
  <si>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</si>
  <si>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</si>
  <si>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</si>
  <si>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</si>
  <si>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</si>
  <si>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</si>
  <si>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</si>
  <si>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</si>
  <si>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</si>
  <si>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</si>
  <si>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</si>
  <si>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</si>
  <si>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</si>
  <si>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</si>
  <si>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</si>
  <si>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</si>
  <si>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</si>
  <si>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</si>
  <si>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</si>
  <si>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</si>
  <si>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</si>
  <si>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</si>
  <si>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</si>
  <si>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</si>
  <si>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</si>
  <si>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</si>
  <si>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</si>
  <si>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</si>
  <si>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</si>
  <si>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</si>
  <si>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</si>
  <si>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</si>
  <si>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</si>
  <si>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</si>
  <si>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</si>
  <si>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</si>
  <si>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</si>
  <si>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</si>
  <si>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</si>
  <si>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</si>
  <si>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</si>
  <si>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</si>
  <si>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</si>
  <si>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</si>
  <si>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</si>
  <si>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</si>
  <si>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</si>
  <si>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</si>
  <si>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</si>
  <si>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</si>
  <si>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</si>
  <si>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</si>
  <si>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</si>
  <si>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</si>
  <si>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</si>
  <si>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</si>
  <si>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</si>
  <si>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</si>
  <si>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</si>
  <si>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</si>
  <si>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</si>
  <si>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</si>
  <si>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</si>
  <si>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</si>
  <si>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</si>
  <si>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</si>
  <si>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</si>
  <si>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</si>
  <si>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</si>
  <si>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</si>
  <si>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</si>
  <si>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</si>
  <si>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</si>
  <si>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</si>
  <si>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</si>
  <si>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</si>
  <si>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</si>
  <si>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</si>
  <si>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</si>
  <si>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</si>
  <si>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</si>
  <si>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</si>
  <si>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</si>
  <si>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</si>
  <si>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</si>
  <si>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</si>
  <si>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</si>
  <si>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</si>
  <si>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</si>
  <si>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</si>
  <si>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</si>
  <si>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</si>
  <si>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</si>
  <si>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</si>
  <si>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</si>
  <si>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</si>
  <si>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</si>
  <si>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</si>
  <si>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</si>
  <si>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</si>
  <si>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</si>
  <si>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</si>
  <si>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</si>
  <si>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</si>
  <si>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</si>
  <si>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</si>
  <si>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</si>
  <si>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</si>
  <si>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</si>
  <si>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</si>
  <si>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</si>
  <si>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</si>
  <si>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</si>
  <si>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</si>
  <si>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</si>
  <si>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</si>
  <si>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</si>
  <si>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</si>
  <si>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</si>
  <si>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</si>
  <si>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</si>
  <si>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</si>
  <si>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</si>
  <si>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</si>
  <si>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</si>
  <si>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</si>
  <si>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</si>
  <si>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</si>
  <si>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</si>
  <si>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</si>
  <si>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</si>
  <si>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</si>
  <si>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</si>
  <si>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</si>
  <si>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</si>
  <si>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</si>
  <si>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</si>
  <si>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</si>
  <si>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</si>
  <si>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</si>
  <si>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</si>
  <si>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</si>
  <si>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</si>
  <si>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</si>
  <si>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</si>
  <si>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</si>
  <si>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</si>
  <si>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</si>
  <si>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</si>
  <si>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</si>
  <si>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</si>
  <si>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</si>
  <si>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</si>
  <si>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</si>
  <si>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</si>
  <si>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</si>
  <si>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</si>
  <si>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</si>
  <si>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</si>
  <si>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</si>
  <si>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</si>
  <si>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</si>
  <si>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</si>
  <si>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</si>
  <si>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</si>
  <si>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</si>
  <si>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</si>
  <si>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</si>
  <si>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</si>
  <si>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</si>
  <si>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</si>
  <si>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</si>
  <si>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</si>
  <si>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</si>
  <si>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</si>
  <si>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</si>
  <si>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</si>
  <si>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</si>
  <si>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</si>
  <si>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</si>
  <si>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</si>
  <si>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</si>
  <si>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</si>
  <si>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</si>
  <si>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</si>
  <si>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</si>
  <si>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</si>
  <si>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</si>
  <si>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</si>
  <si>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</si>
  <si>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</si>
  <si>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</si>
  <si>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</si>
  <si>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</si>
  <si>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</si>
  <si>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</si>
  <si>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</si>
  <si>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</si>
  <si>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</si>
  <si>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</si>
  <si>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</si>
  <si>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</si>
  <si>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</si>
  <si>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</si>
  <si>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</si>
  <si>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</si>
  <si>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</si>
  <si>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</si>
  <si>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</si>
  <si>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</si>
  <si>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</si>
  <si>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</si>
  <si>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</si>
  <si>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</si>
  <si>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</si>
  <si>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</si>
  <si>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</si>
  <si>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</si>
  <si>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</si>
  <si>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</si>
  <si>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</si>
  <si>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</si>
  <si>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</si>
  <si>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</si>
  <si>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</si>
  <si>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</si>
  <si>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</si>
  <si>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</si>
  <si>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</si>
  <si>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</si>
  <si>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</si>
  <si>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</si>
  <si>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</si>
  <si>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</si>
  <si>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</si>
  <si>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</si>
  <si>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</si>
  <si>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</si>
  <si>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</si>
  <si>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</si>
  <si>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</si>
  <si>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</si>
  <si>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</si>
  <si>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</si>
  <si>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</si>
  <si>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</si>
  <si>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</si>
  <si>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</si>
  <si>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</si>
  <si>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</si>
  <si>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</si>
  <si>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</si>
  <si>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</si>
  <si>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</si>
  <si>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</si>
  <si>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</si>
  <si>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</si>
  <si>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</si>
  <si>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</si>
  <si>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</si>
  <si>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</si>
  <si>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</si>
  <si>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</si>
  <si>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</si>
  <si>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</si>
  <si>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</si>
  <si>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</si>
  <si>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</si>
  <si>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</si>
  <si>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</si>
  <si>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</si>
  <si>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</si>
  <si>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</si>
  <si>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</si>
  <si>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</si>
  <si>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</si>
  <si>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</si>
  <si>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</si>
  <si>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</si>
  <si>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</si>
  <si>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</si>
  <si>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</si>
  <si>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</si>
  <si>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</si>
  <si>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</si>
  <si>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</si>
  <si>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</si>
  <si>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</si>
  <si>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</si>
  <si>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</si>
  <si>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</si>
  <si>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</si>
  <si>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</si>
  <si>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</si>
  <si>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</si>
  <si>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</si>
  <si>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</si>
  <si>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</si>
  <si>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</si>
  <si>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</si>
  <si>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</si>
  <si>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</si>
  <si>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</si>
  <si>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</si>
  <si>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</si>
  <si>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</si>
  <si>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</si>
  <si>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</si>
  <si>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</si>
  <si>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</si>
  <si>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</si>
  <si>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</si>
  <si>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</si>
  <si>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</si>
  <si>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</si>
  <si>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</si>
  <si>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</si>
  <si>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</si>
  <si>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</si>
  <si>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</si>
  <si>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</si>
  <si>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</si>
  <si>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</si>
  <si>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</si>
  <si>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</si>
  <si>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</si>
  <si>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</si>
  <si>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</si>
  <si>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</si>
  <si>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</si>
  <si>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</si>
  <si>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</si>
  <si>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</si>
  <si>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</si>
  <si>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</si>
  <si>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</si>
  <si>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</si>
  <si>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</si>
  <si>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</si>
  <si>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</si>
  <si>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</si>
  <si>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</si>
  <si>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</si>
  <si>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</si>
  <si>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</si>
  <si>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</si>
  <si>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</si>
  <si>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</si>
  <si>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</si>
  <si>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</si>
  <si>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</si>
  <si>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</si>
  <si>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</si>
  <si>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</si>
  <si>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</si>
  <si>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</si>
  <si>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</si>
  <si>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</si>
  <si>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</si>
  <si>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</si>
  <si>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</si>
  <si>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</si>
  <si>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</si>
  <si>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</si>
  <si>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</si>
  <si>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</si>
  <si>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</si>
  <si>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</si>
  <si>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</si>
  <si>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</si>
  <si>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</si>
  <si>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</si>
  <si>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</si>
  <si>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</si>
  <si>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</si>
  <si>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</si>
  <si>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</si>
  <si>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</si>
  <si>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</si>
  <si>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</si>
  <si>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</si>
  <si>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</si>
  <si>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</si>
  <si>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</si>
  <si>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</si>
  <si>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</si>
  <si>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</si>
  <si>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</si>
  <si>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</si>
  <si>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</si>
  <si>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</si>
  <si>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</si>
  <si>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</si>
  <si>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</si>
  <si>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</si>
  <si>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</si>
  <si>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</si>
  <si>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</si>
  <si>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</si>
  <si>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</si>
  <si>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</si>
  <si>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</si>
  <si>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</si>
  <si>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</si>
  <si>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</si>
  <si>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</si>
  <si>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</si>
  <si>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</si>
  <si>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</si>
  <si>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</si>
  <si>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</si>
  <si>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</si>
  <si>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</si>
  <si>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</si>
  <si>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</si>
  <si>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</si>
  <si>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</si>
  <si>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</si>
  <si>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</si>
  <si>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</si>
  <si>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</si>
  <si>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</si>
  <si>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</si>
  <si>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</si>
  <si>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</si>
  <si>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</si>
  <si>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</si>
  <si>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</si>
  <si>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</si>
  <si>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</si>
  <si>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</si>
  <si>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</si>
  <si>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</si>
  <si>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</si>
  <si>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</si>
  <si>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</si>
  <si>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</si>
  <si>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</si>
  <si>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</si>
  <si>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</si>
  <si>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</si>
  <si>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</si>
  <si>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</si>
  <si>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</si>
  <si>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</si>
  <si>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</si>
  <si>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</si>
  <si>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</si>
  <si>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</si>
  <si>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</si>
  <si>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</si>
  <si>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</si>
  <si>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</si>
  <si>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</si>
  <si>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</si>
  <si>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</si>
  <si>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</si>
  <si>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</si>
  <si>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</si>
  <si>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</si>
  <si>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</si>
  <si>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</si>
  <si>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</si>
  <si>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</si>
  <si>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</si>
  <si>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</si>
  <si>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</si>
  <si>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</si>
  <si>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</si>
  <si>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</si>
  <si>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</si>
  <si>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</si>
  <si>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</si>
  <si>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</si>
  <si>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</si>
  <si>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</si>
  <si>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</si>
  <si>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</si>
  <si>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</si>
  <si>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</si>
  <si>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</si>
  <si>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</si>
  <si>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</si>
  <si>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</si>
  <si>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</si>
  <si>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</si>
  <si>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</si>
  <si>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</si>
  <si>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</si>
  <si>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</si>
  <si>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</si>
  <si>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</si>
  <si>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</si>
  <si>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</si>
  <si>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</si>
  <si>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</si>
  <si>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</si>
  <si>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</si>
  <si>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</si>
  <si>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</si>
  <si>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</si>
  <si>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</si>
  <si>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</si>
  <si>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</si>
  <si>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</si>
  <si>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</si>
  <si>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</si>
  <si>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</si>
  <si>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</si>
  <si>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</si>
  <si>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</si>
  <si>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</si>
  <si>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</si>
  <si>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</si>
  <si>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</si>
  <si>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</si>
  <si>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</si>
  <si>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</si>
  <si>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</si>
  <si>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</si>
  <si>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</si>
  <si>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</si>
  <si>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</si>
  <si>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</si>
  <si>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</si>
  <si>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</si>
  <si>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</si>
  <si>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</si>
  <si>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</si>
  <si>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</si>
  <si>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</si>
  <si>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</si>
  <si>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</si>
  <si>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</si>
  <si>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</si>
  <si>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</si>
  <si>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</si>
  <si>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</si>
  <si>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</si>
  <si>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</si>
  <si>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</si>
  <si>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</si>
  <si>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</si>
  <si>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</si>
  <si>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</si>
  <si>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</si>
  <si>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</si>
  <si>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</si>
  <si>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</si>
  <si>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</si>
  <si>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</si>
  <si>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</si>
  <si>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</si>
  <si>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</si>
  <si>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</si>
  <si>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</si>
  <si>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</si>
  <si>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</si>
  <si>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</si>
  <si>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</si>
  <si>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</si>
  <si>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</si>
  <si>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</si>
  <si>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</si>
  <si>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</si>
  <si>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</si>
  <si>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</si>
  <si>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</si>
  <si>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</si>
  <si>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</si>
  <si>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</si>
  <si>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</si>
  <si>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</si>
  <si>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</si>
  <si>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</si>
  <si>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</si>
  <si>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</si>
  <si>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</si>
  <si>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</si>
  <si>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</si>
  <si>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</si>
  <si>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</si>
  <si>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</si>
  <si>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</si>
  <si>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</si>
  <si>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</si>
  <si>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</si>
  <si>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</si>
  <si>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</si>
  <si>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</si>
  <si>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</si>
  <si>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</si>
  <si>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</si>
  <si>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</si>
  <si>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</si>
  <si>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</si>
  <si>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</si>
  <si>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</si>
  <si>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</si>
  <si>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</si>
  <si>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</si>
  <si>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</si>
  <si>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</si>
  <si>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</si>
  <si>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</si>
  <si>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</si>
  <si>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</si>
  <si>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</si>
  <si>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</si>
  <si>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</si>
  <si>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</si>
  <si>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</si>
  <si>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</si>
  <si>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</si>
  <si>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</si>
  <si>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</si>
  <si>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</si>
  <si>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</si>
  <si>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</si>
  <si>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</si>
  <si>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</si>
  <si>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</si>
  <si>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</si>
  <si>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</si>
  <si>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</si>
  <si>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</si>
  <si>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</si>
  <si>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</si>
  <si>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</si>
  <si>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</si>
  <si>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</si>
  <si>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</si>
  <si>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</si>
  <si>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</si>
  <si>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</si>
  <si>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</si>
  <si>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</si>
  <si>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</si>
  <si>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</si>
  <si>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</si>
  <si>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</si>
  <si>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</si>
  <si>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</si>
  <si>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</si>
  <si>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</si>
  <si>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</si>
  <si>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</si>
  <si>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</si>
  <si>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</si>
  <si>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</si>
  <si>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</si>
  <si>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</si>
  <si>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</si>
  <si>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</si>
  <si>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</si>
  <si>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</si>
  <si>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</si>
  <si>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</si>
  <si>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</si>
  <si>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</si>
  <si>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</si>
  <si>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</si>
  <si>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</si>
  <si>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</si>
  <si>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</si>
  <si>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</si>
  <si>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</si>
  <si>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</si>
  <si>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</si>
  <si>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</si>
  <si>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</si>
  <si>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</si>
  <si>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</si>
  <si>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</si>
  <si>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</si>
  <si>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</si>
  <si>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</si>
  <si>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</si>
  <si>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</si>
  <si>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</si>
  <si>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</si>
  <si>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</si>
  <si>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</si>
  <si>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</si>
  <si>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</si>
  <si>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</si>
  <si>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</si>
  <si>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</si>
  <si>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</si>
  <si>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</si>
  <si>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</si>
  <si>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</si>
  <si>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</si>
  <si>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</si>
  <si>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</si>
  <si>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</si>
  <si>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</si>
  <si>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</si>
  <si>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</si>
  <si>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</si>
  <si>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</si>
  <si>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</si>
  <si>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</si>
  <si>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</si>
  <si>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</si>
  <si>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</si>
  <si>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</si>
  <si>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</si>
  <si>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</si>
  <si>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</si>
  <si>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</si>
  <si>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</si>
  <si>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</si>
  <si>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</si>
  <si>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</si>
  <si>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</si>
  <si>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</si>
  <si>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</si>
  <si>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</si>
  <si>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</si>
  <si>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</si>
  <si>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</si>
  <si>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</si>
  <si>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</si>
  <si>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</si>
  <si>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</si>
  <si>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</si>
  <si>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</si>
  <si>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</si>
  <si>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</si>
  <si>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</si>
  <si>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</si>
  <si>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</si>
  <si>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</si>
  <si>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</si>
  <si>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</si>
  <si>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</si>
  <si>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</si>
  <si>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</si>
  <si>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</si>
  <si>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</si>
  <si>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</si>
  <si>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</si>
  <si>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</si>
  <si>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</si>
  <si>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</si>
  <si>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</si>
  <si>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</si>
  <si>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</si>
  <si>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</si>
  <si>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</si>
  <si>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</si>
  <si>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</si>
  <si>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</si>
  <si>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</si>
  <si>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</si>
  <si>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</si>
  <si>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</si>
  <si>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</si>
  <si>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</si>
  <si>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</si>
  <si>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</si>
  <si>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</si>
  <si>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</si>
  <si>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</si>
  <si>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</si>
  <si>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</si>
  <si>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</si>
  <si>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</si>
  <si>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</si>
  <si>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</si>
  <si>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</si>
  <si>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</si>
  <si>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</si>
  <si>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</si>
  <si>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</si>
  <si>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</si>
  <si>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</si>
  <si>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</si>
  <si>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</si>
  <si>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</si>
  <si>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</si>
  <si>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</si>
  <si>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</si>
  <si>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</si>
  <si>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</si>
  <si>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</si>
  <si>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</si>
  <si>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</si>
  <si>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</si>
  <si>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</si>
  <si>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</si>
  <si>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</si>
  <si>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</si>
  <si>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</si>
  <si>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</si>
  <si>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</si>
  <si>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</si>
  <si>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</si>
  <si>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</si>
  <si>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</si>
  <si>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</si>
  <si>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</si>
  <si>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</si>
  <si>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</si>
  <si>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</si>
  <si>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</si>
  <si>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</si>
  <si>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</si>
  <si>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</si>
  <si>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</si>
  <si>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</si>
  <si>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</si>
  <si>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</si>
  <si>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</si>
  <si>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</si>
  <si>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</si>
  <si>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</si>
  <si>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</si>
  <si>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</si>
  <si>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</si>
  <si>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</si>
  <si>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</si>
  <si>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</si>
  <si>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</si>
  <si>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</si>
  <si>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</si>
  <si>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</si>
  <si>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</si>
  <si>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</si>
  <si>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</si>
  <si>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</si>
  <si>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</si>
  <si>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</si>
  <si>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</si>
  <si>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</si>
  <si>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</si>
  <si>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</si>
  <si>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</si>
  <si>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</si>
  <si>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</si>
  <si>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</si>
  <si>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</si>
  <si>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</si>
  <si>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</si>
  <si>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</si>
  <si>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</si>
  <si>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</si>
  <si>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</si>
  <si>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</si>
  <si>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</si>
  <si>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</si>
  <si>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</si>
  <si>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</si>
  <si>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</si>
  <si>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</si>
  <si>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</si>
  <si>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</si>
  <si>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</si>
  <si>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</si>
  <si>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</si>
  <si>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</si>
  <si>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</si>
  <si>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</si>
  <si>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</si>
  <si>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</si>
  <si>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</si>
  <si>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</si>
  <si>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</si>
  <si>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</si>
  <si>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</si>
  <si>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</si>
  <si>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</si>
  <si>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</si>
  <si>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</si>
  <si>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</si>
  <si>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</si>
  <si>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</si>
  <si>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</si>
  <si>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</si>
  <si>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</si>
  <si>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</si>
  <si>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</si>
  <si>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</si>
  <si>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</si>
  <si>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</si>
  <si>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</si>
  <si>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</si>
  <si>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</si>
  <si>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</si>
  <si>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</si>
  <si>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</si>
  <si>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</si>
  <si>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</si>
  <si>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</si>
  <si>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</si>
  <si>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</si>
  <si>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</si>
  <si>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</si>
  <si>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</si>
  <si>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</si>
  <si>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</si>
  <si>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</si>
  <si>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</si>
  <si>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</si>
  <si>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</si>
  <si>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</si>
  <si>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</si>
  <si>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</si>
  <si>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</si>
  <si>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</si>
  <si>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</si>
  <si>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</si>
  <si>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</si>
  <si>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</si>
  <si>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</si>
  <si>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</si>
  <si>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</si>
  <si>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</si>
  <si>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</si>
  <si>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</si>
  <si>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</si>
  <si>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</si>
  <si>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</si>
  <si>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</si>
  <si>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</si>
  <si>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</si>
  <si>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</si>
  <si>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</si>
  <si>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</si>
  <si>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</si>
  <si>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</si>
  <si>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</si>
  <si>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</si>
  <si>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</si>
  <si>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</si>
  <si>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</si>
  <si>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</si>
  <si>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</si>
  <si>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</si>
  <si>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</si>
  <si>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</si>
  <si>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</si>
  <si>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</si>
  <si>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</si>
  <si>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</si>
  <si>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</si>
  <si>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</si>
  <si>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</si>
  <si>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</si>
  <si>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</si>
  <si>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</si>
  <si>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</si>
  <si>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</si>
  <si>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</si>
  <si>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</si>
  <si>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</si>
  <si>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</si>
  <si>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</si>
  <si>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</si>
  <si>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</si>
  <si>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</si>
  <si>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</si>
  <si>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</si>
  <si>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</si>
  <si>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</si>
  <si>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</si>
  <si>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</si>
  <si>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</si>
  <si>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</si>
  <si>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</si>
  <si>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</si>
  <si>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</si>
  <si>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</si>
  <si>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</si>
  <si>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</si>
  <si>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</si>
  <si>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</si>
  <si>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</si>
  <si>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</si>
  <si>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</si>
  <si>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</si>
  <si>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</si>
  <si>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</si>
  <si>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</si>
  <si>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</si>
  <si>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</si>
  <si>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</si>
  <si>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</si>
  <si>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</si>
  <si>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</si>
  <si>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</si>
  <si>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</si>
  <si>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</si>
  <si>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</si>
  <si>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</si>
  <si>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</si>
  <si>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</si>
  <si>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</si>
  <si>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</si>
  <si>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</si>
  <si>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</si>
  <si>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</si>
  <si>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</si>
  <si>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</si>
  <si>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</si>
  <si>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</si>
  <si>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</si>
  <si>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</si>
  <si>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</si>
  <si>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</si>
  <si>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</si>
  <si>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</si>
  <si>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</si>
  <si>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</si>
  <si>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</si>
  <si>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</si>
  <si>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</si>
  <si>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</si>
  <si>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</si>
  <si>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</si>
  <si>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</si>
  <si>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</si>
  <si>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</si>
  <si>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</si>
  <si>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</si>
  <si>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</si>
  <si>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</si>
  <si>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</si>
  <si>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</si>
  <si>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</si>
  <si>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</si>
  <si>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</si>
  <si>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</si>
  <si>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</si>
  <si>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</si>
  <si>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</si>
  <si>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</si>
  <si>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</si>
  <si>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</si>
  <si>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</si>
  <si>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</si>
  <si>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</si>
  <si>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</si>
  <si>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</si>
  <si>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</si>
  <si>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</si>
  <si>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</si>
  <si>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</si>
  <si>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</si>
  <si>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</si>
  <si>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</si>
  <si>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</si>
  <si>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</si>
  <si>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</si>
  <si>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</si>
  <si>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</si>
  <si>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</si>
  <si>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</si>
  <si>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</si>
  <si>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</si>
  <si>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</si>
  <si>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</si>
  <si>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</si>
  <si>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</si>
  <si>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</si>
  <si>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</si>
  <si>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</si>
  <si>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</si>
  <si>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</si>
  <si>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</si>
  <si>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</si>
  <si>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</si>
  <si>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</si>
  <si>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</si>
  <si>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</si>
  <si>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</si>
  <si>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</si>
  <si>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</si>
  <si>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</si>
  <si>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</si>
  <si>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</si>
  <si>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</si>
  <si>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</si>
  <si>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</si>
  <si>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</si>
  <si>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</si>
  <si>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</si>
  <si>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</si>
  <si>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</si>
  <si>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</si>
  <si>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</si>
  <si>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</si>
  <si>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</si>
  <si>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</si>
  <si>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</si>
  <si>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</si>
  <si>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</si>
  <si>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</si>
  <si>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</si>
  <si>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</si>
  <si>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</si>
  <si>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</si>
  <si>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</si>
  <si>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</si>
  <si>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</si>
  <si>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</si>
  <si>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</si>
  <si>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</si>
  <si>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</si>
  <si>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</si>
  <si>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</si>
  <si>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</si>
  <si>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</si>
  <si>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</si>
  <si>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</si>
  <si>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</si>
  <si>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</si>
  <si>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</si>
  <si>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</si>
  <si>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</si>
  <si>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</si>
  <si>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</si>
  <si>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</si>
  <si>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</si>
  <si>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</si>
  <si>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</si>
  <si>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</si>
  <si>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</si>
  <si>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</si>
  <si>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</si>
  <si>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</si>
  <si>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</si>
  <si>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</si>
  <si>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</si>
  <si>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</si>
  <si>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</si>
  <si>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</si>
  <si>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</si>
  <si>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</si>
  <si>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</si>
  <si>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</si>
  <si>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</si>
  <si>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</si>
  <si>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</si>
  <si>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</si>
  <si>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</si>
  <si>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</si>
  <si>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</si>
  <si>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</si>
  <si>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</si>
  <si>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</si>
  <si>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</si>
  <si>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</si>
  <si>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</si>
  <si>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</si>
  <si>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</si>
  <si>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</si>
  <si>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</si>
  <si>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</si>
  <si>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</si>
  <si>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</si>
  <si>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</si>
  <si>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</si>
  <si>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</si>
  <si>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</si>
  <si>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</si>
  <si>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</si>
  <si>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</si>
  <si>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</si>
  <si>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</si>
  <si>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</si>
  <si>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</si>
  <si>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</si>
  <si>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</si>
  <si>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</si>
  <si>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</si>
  <si>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</si>
  <si>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</si>
  <si>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</si>
  <si>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</si>
  <si>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</si>
  <si>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</si>
  <si>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</si>
  <si>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</si>
  <si>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</si>
  <si>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</si>
  <si>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</si>
  <si>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</si>
  <si>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</si>
  <si>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</si>
  <si>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</si>
  <si>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</si>
  <si>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</si>
  <si>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</si>
  <si>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</si>
  <si>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</si>
  <si>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</si>
  <si>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</si>
  <si>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</si>
  <si>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</si>
  <si>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</si>
  <si>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</si>
  <si>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</si>
  <si>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</si>
  <si>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</si>
  <si>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</si>
  <si>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</si>
  <si>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</si>
  <si>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</si>
  <si>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</si>
  <si>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</si>
  <si>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</si>
  <si>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</si>
  <si>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</si>
  <si>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</si>
  <si>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</si>
  <si>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</si>
  <si>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</si>
  <si>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</si>
  <si>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</si>
  <si>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</si>
  <si>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</si>
  <si>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</si>
  <si>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</si>
  <si>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</si>
  <si>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</si>
  <si>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</si>
  <si>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</si>
  <si>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</si>
  <si>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</si>
  <si>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</si>
  <si>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</si>
  <si>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</si>
  <si>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</si>
  <si>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</si>
  <si>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</si>
  <si>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</si>
  <si>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</si>
  <si>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</si>
  <si>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</si>
  <si>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</si>
  <si>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</si>
  <si>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</si>
  <si>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</si>
  <si>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</si>
  <si>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</si>
  <si>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</si>
  <si>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</si>
  <si>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</si>
  <si>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</si>
  <si>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</si>
  <si>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</si>
  <si>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</si>
  <si>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</si>
  <si>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</si>
  <si>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</si>
  <si>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</si>
  <si>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</si>
  <si>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</si>
  <si>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</si>
  <si>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</si>
  <si>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</si>
  <si>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</si>
  <si>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</si>
  <si>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</si>
  <si>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</si>
  <si>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</si>
  <si>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</si>
  <si>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</si>
  <si>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</si>
  <si>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</si>
  <si>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</si>
  <si>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</si>
  <si>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</si>
  <si>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</si>
  <si>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</si>
  <si>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</si>
  <si>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</si>
  <si>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</si>
  <si>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</si>
  <si>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</si>
  <si>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</si>
  <si>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</si>
  <si>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</si>
  <si>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</si>
  <si>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</si>
  <si>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</si>
  <si>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</si>
  <si>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</si>
  <si>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</si>
  <si>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</si>
  <si>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</si>
  <si>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</si>
  <si>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</si>
  <si>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</si>
  <si>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</si>
  <si>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</si>
  <si>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</si>
  <si>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</si>
  <si>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</si>
  <si>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</si>
  <si>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</si>
  <si>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</si>
  <si>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</si>
  <si>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</si>
  <si>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</si>
  <si>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</si>
  <si>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</si>
  <si>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</si>
  <si>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</si>
  <si>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</si>
  <si>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</si>
  <si>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</si>
  <si>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</si>
  <si>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</si>
  <si>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</si>
  <si>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</si>
  <si>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</si>
  <si>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</si>
  <si>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</si>
  <si>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</si>
  <si>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</si>
  <si>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</si>
  <si>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</si>
  <si>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</si>
  <si>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</si>
  <si>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</si>
  <si>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</si>
  <si>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</si>
  <si>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</si>
  <si>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</si>
  <si>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</si>
  <si>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</si>
  <si>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</si>
  <si>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</si>
  <si>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</si>
  <si>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</si>
  <si>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</si>
  <si>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</si>
  <si>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</si>
  <si>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</si>
  <si>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</si>
  <si>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</si>
  <si>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</si>
  <si>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</si>
  <si>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</si>
  <si>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</si>
  <si>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</si>
  <si>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</si>
  <si>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</si>
  <si>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</si>
  <si>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</si>
  <si>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</si>
  <si>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</si>
  <si>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</si>
  <si>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</si>
  <si>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</si>
  <si>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</si>
  <si>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</si>
  <si>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</si>
  <si>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</si>
  <si>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</si>
  <si>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</si>
  <si>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</si>
  <si>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</si>
  <si>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</si>
  <si>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</si>
  <si>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</si>
  <si>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</si>
  <si>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</si>
  <si>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</si>
  <si>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</si>
  <si>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</si>
  <si>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</si>
  <si>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</si>
  <si>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</si>
  <si>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</si>
  <si>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</si>
  <si>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</si>
  <si>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</si>
  <si>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</si>
  <si>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</si>
  <si>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</si>
  <si>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</si>
  <si>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</si>
  <si>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</si>
  <si>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</si>
  <si>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</si>
  <si>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</si>
  <si>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</si>
  <si>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</si>
  <si>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</si>
  <si>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</si>
  <si>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</si>
  <si>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</si>
  <si>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</si>
  <si>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</si>
  <si>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</si>
  <si>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</si>
  <si>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</si>
  <si>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</si>
  <si>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</si>
  <si>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</si>
  <si>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</si>
  <si>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</si>
  <si>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</si>
  <si>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</si>
  <si>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</si>
  <si>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</si>
  <si>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</si>
  <si>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</si>
  <si>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</si>
  <si>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</si>
  <si>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</si>
  <si>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</si>
  <si>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</si>
  <si>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</si>
  <si>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</si>
  <si>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</si>
  <si>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</si>
  <si>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</si>
  <si>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</si>
  <si>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</si>
  <si>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</si>
  <si>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</si>
  <si>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</si>
  <si>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</si>
  <si>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</si>
  <si>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</si>
  <si>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</si>
  <si>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</si>
  <si>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</si>
  <si>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</si>
  <si>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</si>
  <si>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</si>
  <si>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</si>
  <si>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</si>
  <si>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</si>
  <si>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</si>
  <si>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</si>
  <si>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</si>
  <si>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</si>
  <si>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</si>
  <si>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</si>
  <si>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</si>
  <si>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</si>
  <si>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</si>
  <si>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</si>
  <si>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</si>
  <si>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</si>
  <si>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</si>
  <si>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</si>
  <si>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</si>
  <si>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</si>
  <si>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</si>
  <si>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</si>
  <si>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</si>
  <si>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</si>
  <si>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</si>
  <si>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</si>
  <si>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</si>
  <si>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</si>
  <si>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</si>
  <si>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</si>
  <si>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</si>
  <si>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</si>
  <si>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</si>
  <si>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</si>
  <si>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</si>
  <si>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</si>
  <si>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</si>
  <si>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</si>
  <si>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</si>
  <si>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</si>
  <si>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</si>
  <si>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</si>
  <si>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</si>
  <si>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</si>
  <si>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</si>
  <si>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</si>
  <si>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</si>
  <si>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</si>
  <si>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</si>
  <si>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</si>
  <si>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</si>
  <si>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</si>
  <si>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</si>
  <si>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</si>
  <si>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</si>
  <si>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</si>
  <si>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</si>
  <si>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</si>
  <si>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</si>
  <si>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</si>
  <si>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</si>
  <si>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</si>
  <si>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</si>
  <si>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</si>
  <si>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</si>
  <si>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</si>
  <si>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</si>
  <si>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</si>
  <si>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</si>
  <si>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</si>
  <si>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</si>
  <si>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</si>
  <si>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</si>
  <si>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</si>
  <si>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</si>
  <si>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</si>
  <si>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</si>
  <si>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</si>
  <si>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</si>
  <si>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</si>
  <si>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</si>
  <si>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</si>
  <si>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</si>
  <si>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</si>
  <si>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</si>
  <si>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</si>
  <si>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</si>
  <si>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</si>
  <si>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</si>
  <si>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</si>
  <si>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</si>
  <si>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</si>
  <si>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</si>
  <si>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</si>
  <si>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</si>
  <si>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</si>
  <si>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</si>
  <si>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</si>
  <si>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</si>
  <si>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</si>
  <si>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</si>
  <si>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</si>
  <si>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</si>
  <si>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</si>
  <si>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</si>
  <si>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</si>
  <si>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</si>
  <si>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</si>
  <si>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</si>
  <si>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</si>
  <si>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</si>
  <si>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</si>
  <si>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</si>
  <si>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</si>
  <si>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</si>
  <si>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</si>
  <si>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</si>
  <si>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</si>
  <si>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</si>
  <si>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</si>
  <si>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</si>
  <si>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</si>
  <si>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</si>
  <si>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</si>
  <si>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</si>
  <si>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</si>
  <si>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</si>
  <si>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</si>
  <si>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</si>
  <si>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</si>
  <si>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</si>
  <si>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</si>
  <si>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</si>
  <si>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</si>
  <si>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</si>
  <si>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</si>
  <si>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</si>
  <si>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</si>
  <si>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</si>
  <si>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</si>
  <si>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</si>
  <si>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</si>
  <si>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</si>
  <si>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</si>
  <si>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</si>
  <si>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</si>
  <si>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</si>
  <si>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</si>
  <si>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</si>
  <si>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</si>
  <si>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</si>
  <si>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</si>
  <si>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</si>
  <si>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</si>
  <si>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</si>
  <si>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</si>
  <si>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</si>
  <si>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</si>
  <si>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</si>
  <si>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</si>
  <si>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</si>
  <si>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</si>
  <si>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</si>
  <si>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</si>
  <si>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</si>
  <si>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</si>
  <si>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</si>
  <si>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</si>
  <si>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</si>
  <si>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</si>
  <si>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</si>
  <si>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</si>
  <si>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</si>
  <si>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</si>
  <si>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</si>
  <si>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</si>
  <si>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</si>
  <si>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</si>
  <si>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</si>
  <si>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</si>
  <si>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</si>
  <si>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</si>
  <si>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</si>
  <si>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</si>
  <si>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</si>
  <si>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</si>
  <si>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</si>
  <si>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</si>
  <si>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</si>
  <si>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</si>
  <si>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</si>
  <si>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</si>
  <si>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</si>
  <si>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</si>
  <si>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</si>
  <si>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</si>
  <si>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</si>
  <si>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</si>
  <si>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</si>
  <si>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</si>
  <si>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</si>
  <si>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</si>
  <si>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</si>
  <si>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</si>
  <si>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</si>
  <si>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</si>
  <si>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</si>
  <si>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</si>
  <si>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</si>
  <si>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</si>
  <si>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</si>
  <si>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</si>
  <si>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</si>
  <si>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</si>
  <si>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</si>
  <si>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</si>
  <si>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</si>
  <si>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</si>
  <si>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</si>
  <si>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</si>
  <si>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</si>
  <si>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</si>
  <si>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</si>
  <si>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</si>
  <si>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</si>
  <si>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</si>
  <si>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</si>
  <si>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</si>
  <si>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</si>
  <si>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</si>
  <si>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</si>
  <si>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</si>
  <si>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</si>
  <si>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</si>
  <si>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</si>
  <si>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</si>
  <si>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</si>
  <si>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</si>
  <si>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</si>
  <si>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</si>
  <si>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</si>
  <si>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</si>
  <si>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</si>
  <si>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</si>
  <si>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</si>
  <si>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</si>
  <si>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</si>
  <si>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</si>
  <si>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</si>
  <si>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</si>
  <si>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</si>
  <si>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</si>
  <si>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</si>
  <si>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</si>
  <si>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</si>
  <si>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</si>
  <si>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</si>
  <si>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</si>
  <si>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</si>
  <si>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</si>
  <si>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</si>
  <si>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</si>
  <si>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</si>
  <si>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</si>
  <si>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</si>
  <si>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</si>
  <si>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</si>
  <si>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</si>
  <si>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</si>
  <si>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</si>
  <si>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</si>
  <si>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</si>
  <si>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</si>
  <si>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</si>
  <si>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</si>
  <si>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</si>
  <si>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</si>
  <si>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</si>
  <si>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</si>
  <si>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</si>
  <si>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</si>
  <si>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</si>
  <si>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</si>
  <si>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</si>
  <si>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</si>
  <si>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</si>
  <si>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</si>
  <si>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</si>
  <si>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</si>
  <si>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</si>
  <si>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</si>
  <si>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</si>
  <si>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</si>
  <si>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</si>
  <si>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</si>
  <si>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</si>
  <si>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</si>
  <si>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</si>
  <si>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</si>
  <si>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</si>
  <si>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</si>
  <si>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</si>
  <si>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</si>
  <si>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</si>
  <si>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</si>
  <si>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</si>
  <si>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</si>
  <si>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</si>
  <si>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</si>
  <si>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</si>
  <si>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</si>
  <si>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</si>
  <si>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</si>
  <si>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</si>
  <si>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</si>
  <si>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</si>
  <si>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</si>
  <si>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</si>
  <si>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</si>
  <si>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</si>
  <si>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</si>
  <si>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</si>
  <si>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</si>
  <si>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</si>
  <si>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</si>
  <si>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</si>
  <si>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</si>
  <si>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</si>
  <si>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</si>
  <si>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</si>
  <si>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</si>
  <si>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</si>
  <si>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</si>
  <si>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</si>
  <si>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</si>
  <si>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</si>
  <si>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</si>
  <si>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</si>
  <si>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</si>
  <si>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</si>
  <si>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</si>
  <si>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</si>
  <si>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</si>
  <si>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</si>
  <si>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</si>
  <si>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</si>
  <si>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</si>
  <si>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</si>
  <si>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</si>
  <si>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</si>
  <si>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</si>
  <si>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</si>
  <si>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</si>
  <si>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</si>
  <si>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</si>
  <si>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</si>
  <si>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</si>
  <si>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</si>
  <si>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</si>
  <si>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</si>
  <si>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</si>
  <si>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</si>
  <si>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</si>
  <si>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</si>
  <si>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</si>
  <si>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</si>
  <si>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</si>
  <si>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</si>
  <si>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</si>
  <si>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</si>
  <si>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</si>
  <si>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</si>
  <si>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</si>
  <si>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</si>
  <si>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</si>
  <si>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</si>
  <si>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</si>
  <si>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</si>
  <si>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</si>
  <si>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</si>
  <si>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</si>
  <si>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</si>
  <si>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</si>
  <si>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</si>
  <si>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</si>
  <si>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</si>
  <si>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</si>
  <si>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</si>
  <si>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</si>
  <si>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</si>
  <si>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</si>
  <si>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</si>
  <si>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</si>
  <si>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</si>
  <si>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</si>
  <si>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</si>
  <si>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</si>
  <si>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</si>
  <si>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</si>
  <si>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</si>
  <si>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</si>
  <si>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</si>
  <si>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</si>
  <si>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</si>
  <si>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</si>
  <si>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</si>
  <si>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</si>
  <si>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</si>
  <si>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</si>
  <si>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</si>
  <si>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</si>
  <si>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</si>
  <si>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</si>
  <si>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</si>
  <si>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</si>
  <si>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</si>
  <si>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</si>
  <si>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</si>
  <si>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</si>
  <si>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</si>
  <si>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</si>
  <si>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</si>
  <si>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</si>
  <si>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</si>
  <si>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</si>
  <si>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</si>
  <si>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</si>
  <si>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</si>
  <si>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</si>
  <si>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</si>
  <si>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</si>
  <si>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</si>
  <si>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</si>
  <si>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</si>
  <si>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</si>
  <si>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</si>
  <si>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</si>
  <si>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</si>
  <si>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</si>
  <si>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</si>
  <si>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</si>
  <si>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</si>
  <si>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</si>
  <si>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</si>
  <si>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</si>
  <si>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</si>
  <si>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</si>
  <si>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</si>
  <si>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</si>
  <si>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</si>
  <si>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</si>
  <si>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</si>
  <si>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</si>
  <si>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</si>
  <si>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</si>
  <si>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</si>
  <si>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</si>
  <si>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</si>
  <si>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</si>
  <si>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</si>
  <si>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</si>
  <si>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</si>
  <si>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</si>
  <si>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</si>
  <si>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</si>
  <si>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</si>
  <si>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</si>
  <si>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</si>
  <si>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</si>
  <si>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</si>
  <si>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</si>
  <si>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</si>
  <si>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</si>
  <si>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</si>
  <si>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</si>
  <si>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</si>
  <si>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</si>
  <si>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</si>
  <si>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</si>
  <si>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</si>
  <si>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</si>
  <si>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</si>
  <si>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</si>
  <si>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</si>
  <si>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</si>
  <si>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</si>
  <si>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</si>
  <si>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</si>
  <si>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</si>
  <si>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</si>
  <si>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</si>
  <si>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</si>
  <si>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</si>
  <si>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</si>
  <si>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</si>
  <si>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</si>
  <si>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</si>
  <si>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</si>
  <si>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</si>
  <si>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</si>
  <si>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</si>
  <si>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</si>
  <si>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</si>
  <si>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</si>
  <si>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</si>
  <si>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</si>
  <si>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</si>
  <si>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</si>
  <si>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</si>
  <si>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</si>
  <si>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</si>
  <si>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</si>
  <si>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</si>
  <si>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</si>
  <si>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</si>
  <si>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</si>
  <si>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</si>
  <si>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</si>
  <si>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</si>
  <si>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</si>
  <si>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</si>
  <si>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</si>
  <si>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</si>
  <si>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</si>
  <si>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</si>
  <si>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</si>
  <si>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</si>
  <si>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</si>
  <si>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</si>
  <si>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</si>
  <si>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</si>
  <si>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</si>
  <si>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</si>
  <si>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</si>
  <si>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</si>
  <si>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</si>
  <si>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</si>
  <si>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</si>
  <si>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</si>
  <si>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</si>
  <si>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</si>
  <si>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</si>
  <si>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</si>
  <si>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</si>
  <si>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</si>
  <si>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</si>
  <si>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</si>
  <si>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</si>
  <si>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</si>
  <si>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</si>
  <si>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</si>
  <si>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</si>
  <si>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</si>
  <si>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</si>
  <si>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</si>
  <si>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</si>
  <si>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</si>
  <si>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</si>
  <si>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</si>
  <si>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</si>
  <si>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</si>
  <si>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</si>
  <si>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</si>
  <si>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</si>
  <si>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</si>
  <si>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</si>
  <si>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</si>
  <si>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</si>
  <si>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</si>
  <si>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</si>
  <si>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</si>
  <si>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</si>
  <si>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</si>
  <si>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</si>
  <si>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</si>
  <si>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</si>
  <si>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</si>
  <si>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</si>
  <si>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</si>
  <si>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</si>
  <si>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</si>
  <si>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</si>
  <si>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</si>
  <si>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</si>
  <si>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</si>
  <si>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</si>
  <si>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</si>
  <si>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</si>
  <si>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</si>
  <si>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</si>
  <si>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</si>
  <si>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</si>
  <si>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</si>
  <si>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</si>
  <si>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</si>
  <si>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</si>
  <si>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</si>
  <si>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</si>
  <si>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</si>
  <si>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</si>
  <si>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</si>
  <si>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</si>
  <si>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</si>
  <si>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</si>
  <si>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</si>
  <si>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</si>
  <si>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</si>
  <si>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</si>
  <si>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</si>
  <si>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</si>
  <si>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</si>
  <si>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</si>
  <si>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</si>
  <si>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</si>
  <si>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</si>
  <si>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</si>
  <si>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</si>
  <si>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</si>
  <si>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</si>
  <si>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</si>
  <si>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</si>
  <si>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</si>
  <si>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</si>
  <si>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</si>
  <si>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</si>
  <si>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</si>
  <si>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</si>
  <si>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</si>
  <si>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</si>
  <si>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</si>
  <si>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</si>
  <si>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</si>
  <si>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</si>
  <si>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</si>
  <si>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</si>
  <si>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</si>
  <si>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</si>
  <si>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</si>
  <si>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</si>
  <si>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</si>
  <si>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</si>
  <si>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</si>
  <si>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</si>
  <si>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</si>
  <si>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</si>
  <si>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</si>
  <si>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</si>
  <si>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</si>
  <si>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</si>
  <si>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</si>
  <si>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</si>
  <si>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</si>
  <si>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</si>
  <si>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</si>
  <si>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</si>
  <si>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</si>
  <si>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</si>
  <si>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</si>
  <si>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</si>
  <si>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</si>
  <si>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</si>
  <si>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</si>
  <si>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</si>
  <si>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</si>
  <si>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</si>
  <si>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</si>
  <si>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</si>
  <si>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</si>
  <si>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</si>
  <si>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</si>
  <si>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</si>
  <si>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</si>
  <si>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</si>
  <si>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</si>
  <si>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</si>
  <si>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</si>
  <si>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</si>
  <si>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</si>
  <si>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</si>
  <si>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</si>
  <si>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</si>
  <si>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</si>
  <si>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</si>
  <si>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</si>
  <si>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</si>
  <si>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</si>
  <si>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</si>
  <si>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</si>
  <si>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</si>
  <si>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</si>
  <si>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</si>
  <si>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</si>
  <si>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</si>
  <si>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</si>
  <si>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</si>
  <si>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</si>
  <si>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</si>
  <si>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</si>
  <si>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</si>
  <si>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</si>
  <si>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</si>
  <si>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</si>
  <si>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</si>
  <si>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</si>
  <si>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</si>
  <si>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</si>
  <si>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</si>
  <si>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</si>
  <si>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</si>
  <si>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</si>
  <si>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</si>
  <si>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</si>
  <si>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</si>
  <si>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</si>
  <si>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</si>
  <si>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</si>
  <si>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</si>
  <si>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</si>
  <si>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</si>
  <si>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</si>
  <si>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</si>
  <si>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</si>
  <si>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</si>
  <si>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</si>
  <si>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</si>
  <si>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</si>
  <si>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</si>
  <si>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</si>
  <si>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</si>
  <si>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</si>
  <si>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</si>
  <si>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</si>
  <si>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</si>
  <si>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</si>
  <si>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</si>
  <si>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</si>
  <si>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</si>
  <si>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</si>
  <si>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</si>
  <si>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</si>
  <si>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</si>
  <si>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</si>
  <si>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</si>
  <si>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</si>
  <si>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</si>
  <si>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</si>
  <si>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</si>
  <si>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</si>
  <si>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</si>
  <si>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</si>
  <si>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</si>
  <si>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</si>
  <si>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</si>
  <si>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</si>
  <si>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</si>
  <si>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</si>
  <si>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</si>
  <si>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</si>
  <si>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</si>
  <si>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</si>
  <si>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</si>
  <si>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</si>
  <si>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</si>
  <si>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</si>
  <si>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</si>
  <si>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</si>
  <si>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</si>
  <si>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</si>
  <si>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</si>
  <si>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</si>
  <si>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</si>
  <si>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</si>
  <si>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</si>
  <si>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</si>
  <si>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</si>
  <si>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</si>
  <si>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</si>
  <si>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</si>
  <si>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</si>
  <si>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</si>
  <si>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</si>
  <si>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</si>
  <si>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</si>
  <si>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</si>
  <si>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</si>
  <si>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</si>
  <si>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</si>
  <si>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</si>
  <si>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</si>
  <si>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</si>
  <si>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</si>
  <si>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</si>
  <si>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</si>
  <si>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</si>
  <si>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</si>
  <si>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</si>
  <si>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</si>
  <si>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</si>
  <si>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</si>
  <si>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</si>
  <si>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</si>
  <si>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</si>
  <si>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</si>
  <si>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</si>
  <si>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</si>
  <si>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</si>
  <si>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</si>
  <si>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</si>
  <si>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</si>
  <si>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</si>
  <si>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</si>
  <si>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</si>
  <si>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</si>
  <si>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</si>
  <si>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</si>
  <si>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</si>
  <si>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</si>
  <si>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</si>
  <si>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</si>
  <si>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</si>
  <si>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</si>
  <si>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</si>
  <si>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</si>
  <si>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</si>
  <si>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</si>
  <si>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</si>
  <si>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</si>
  <si>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</si>
  <si>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</si>
  <si>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</si>
  <si>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</si>
  <si>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</si>
  <si>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</si>
  <si>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</si>
  <si>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</si>
  <si>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</si>
  <si>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</si>
  <si>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</si>
  <si>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</si>
  <si>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</si>
  <si>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</si>
  <si>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</si>
  <si>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</si>
  <si>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</si>
  <si>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</si>
  <si>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</si>
  <si>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</si>
  <si>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</si>
  <si>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</si>
  <si>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</si>
  <si>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</si>
  <si>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</si>
  <si>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</si>
  <si>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</si>
  <si>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</si>
  <si>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</si>
  <si>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</si>
  <si>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</si>
  <si>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</si>
  <si>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</si>
  <si>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</si>
  <si>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</si>
  <si>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</si>
  <si>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</si>
  <si>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</si>
  <si>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</si>
  <si>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</si>
  <si>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</si>
  <si>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</si>
  <si>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</si>
  <si>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</si>
  <si>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</si>
  <si>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</si>
  <si>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</si>
  <si>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</si>
  <si>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</si>
  <si>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</si>
  <si>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</si>
  <si>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</si>
  <si>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</si>
  <si>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</si>
  <si>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</si>
  <si>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</si>
  <si>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</si>
  <si>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</si>
  <si>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</si>
  <si>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</si>
  <si>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</si>
  <si>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</si>
  <si>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</si>
  <si>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</si>
  <si>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</si>
  <si>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</si>
  <si>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</si>
  <si>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</si>
  <si>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</si>
  <si>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</si>
  <si>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</si>
  <si>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</si>
  <si>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</si>
  <si>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</si>
  <si>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</si>
  <si>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</si>
  <si>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</si>
  <si>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</si>
  <si>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</si>
  <si>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</si>
  <si>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</si>
  <si>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</si>
  <si>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</si>
  <si>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</si>
  <si>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</si>
  <si>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</si>
  <si>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</si>
  <si>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</si>
  <si>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</si>
  <si>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</si>
  <si>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</si>
  <si>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</si>
  <si>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</si>
  <si>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</si>
  <si>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</si>
  <si>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</si>
  <si>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</si>
  <si>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</si>
  <si>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</si>
  <si>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</si>
  <si>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</si>
  <si>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</si>
  <si>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</si>
  <si>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</si>
  <si>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</si>
  <si>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</si>
  <si>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</si>
  <si>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</si>
  <si>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</si>
  <si>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</si>
  <si>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</si>
  <si>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</si>
  <si>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</si>
  <si>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</si>
  <si>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</si>
  <si>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</si>
  <si>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</si>
  <si>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</si>
  <si>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</si>
  <si>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</si>
  <si>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</si>
  <si>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</si>
  <si>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</si>
  <si>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</si>
  <si>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</si>
  <si>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</si>
  <si>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</si>
  <si>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</si>
  <si>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</si>
  <si>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</si>
  <si>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</si>
  <si>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</si>
  <si>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</si>
  <si>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</si>
  <si>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</si>
  <si>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</si>
  <si>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</si>
  <si>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</si>
  <si>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</si>
  <si>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</si>
  <si>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</si>
  <si>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</si>
  <si>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</si>
  <si>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</si>
  <si>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</si>
  <si>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</si>
  <si>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</si>
  <si>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</si>
  <si>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</si>
  <si>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</si>
  <si>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</si>
  <si>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</si>
  <si>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</si>
  <si>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</si>
  <si>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</si>
  <si>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</si>
  <si>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</si>
  <si>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</si>
  <si>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</si>
  <si>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</si>
  <si>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</si>
  <si>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</si>
  <si>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</si>
  <si>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</si>
  <si>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</si>
  <si>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</si>
  <si>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</si>
  <si>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</si>
  <si>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</si>
  <si>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</si>
  <si>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</si>
  <si>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</si>
  <si>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</si>
  <si>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</si>
  <si>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</si>
  <si>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</si>
  <si>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</si>
  <si>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</si>
  <si>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</si>
  <si>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</si>
  <si>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</si>
  <si>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</si>
  <si>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</si>
  <si>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</si>
  <si>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</si>
  <si>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</si>
  <si>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</si>
  <si>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</si>
  <si>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</si>
  <si>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</si>
  <si>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</si>
  <si>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</si>
  <si>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</si>
  <si>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</si>
  <si>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</si>
  <si>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</si>
  <si>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</si>
  <si>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</si>
  <si>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</si>
  <si>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</si>
  <si>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</si>
  <si>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</si>
  <si>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</si>
  <si>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</si>
  <si>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</si>
  <si>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</si>
  <si>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</si>
  <si>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</si>
  <si>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</si>
  <si>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</si>
  <si>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</si>
  <si>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</si>
  <si>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</si>
  <si>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</si>
  <si>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</si>
  <si>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</si>
  <si>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</si>
  <si>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</si>
  <si>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</si>
  <si>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</si>
  <si>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</si>
  <si>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</si>
  <si>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</si>
  <si>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</si>
  <si>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</si>
  <si>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</si>
  <si>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</si>
  <si>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</si>
  <si>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</si>
  <si>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</si>
  <si>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</si>
  <si>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</si>
  <si>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</si>
  <si>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</si>
  <si>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</si>
  <si>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</si>
  <si>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</si>
  <si>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</si>
  <si>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</si>
  <si>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</si>
  <si>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</si>
  <si>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</si>
  <si>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</si>
  <si>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</si>
  <si>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</si>
  <si>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</si>
  <si>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</si>
  <si>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</si>
  <si>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</si>
  <si>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</si>
  <si>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</si>
  <si>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</si>
  <si>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</si>
  <si>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</si>
  <si>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</si>
  <si>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</si>
  <si>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</si>
  <si>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</si>
  <si>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</si>
  <si>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</si>
  <si>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</si>
  <si>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</si>
  <si>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</si>
  <si>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</si>
  <si>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</si>
  <si>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</si>
  <si>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</si>
  <si>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</si>
  <si>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</si>
  <si>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</si>
  <si>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</si>
  <si>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</si>
  <si>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</si>
  <si>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</si>
  <si>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</si>
  <si>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</si>
  <si>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</si>
  <si>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</si>
  <si>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</si>
  <si>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</si>
  <si>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</si>
  <si>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</si>
  <si>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</si>
  <si>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</si>
  <si>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</si>
  <si>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</si>
  <si>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</si>
  <si>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</si>
  <si>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</si>
  <si>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</si>
  <si>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</si>
  <si>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</si>
  <si>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</si>
  <si>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</si>
  <si>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</si>
  <si>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</si>
  <si>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</si>
  <si>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</si>
  <si>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</si>
  <si>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</si>
  <si>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</si>
  <si>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</si>
  <si>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</si>
  <si>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</si>
  <si>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</si>
  <si>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</si>
  <si>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</si>
  <si>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</si>
  <si>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</si>
  <si>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</si>
  <si>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</si>
  <si>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</si>
  <si>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</si>
  <si>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</si>
  <si>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</si>
  <si>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</si>
  <si>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</si>
  <si>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</si>
  <si>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</si>
  <si>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</si>
  <si>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</si>
  <si>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</si>
  <si>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</si>
  <si>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</si>
  <si>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</si>
  <si>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</si>
  <si>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</si>
  <si>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</si>
  <si>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</si>
  <si>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</si>
  <si>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</si>
  <si>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</si>
  <si>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</si>
  <si>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</si>
  <si>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</si>
  <si>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</si>
  <si>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</si>
  <si>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</si>
  <si>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</si>
  <si>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</si>
  <si>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</si>
  <si>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</si>
  <si>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</si>
  <si>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</si>
  <si>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</si>
  <si>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</si>
  <si>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</si>
  <si>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</si>
  <si>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</si>
  <si>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</si>
  <si>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</si>
  <si>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</si>
  <si>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</si>
  <si>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</si>
  <si>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</si>
  <si>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</si>
  <si>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</si>
  <si>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</si>
  <si>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</si>
  <si>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</si>
  <si>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</si>
  <si>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</si>
  <si>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</si>
  <si>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</si>
  <si>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</si>
  <si>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</si>
  <si>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</si>
  <si>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</si>
  <si>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</si>
  <si>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</si>
  <si>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</si>
  <si>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</si>
  <si>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</si>
  <si>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</si>
  <si>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</si>
  <si>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</si>
  <si>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</si>
  <si>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</si>
  <si>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</si>
  <si>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</si>
  <si>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</si>
  <si>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</si>
  <si>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</si>
  <si>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</si>
  <si>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</si>
  <si>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</si>
  <si>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</si>
  <si>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</si>
  <si>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</si>
  <si>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</si>
  <si>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</si>
  <si>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</si>
  <si>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</si>
  <si>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</si>
  <si>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</si>
  <si>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</si>
  <si>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</si>
  <si>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</si>
  <si>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</si>
  <si>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</si>
  <si>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</si>
  <si>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</si>
  <si>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</si>
  <si>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</si>
  <si>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</si>
  <si>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</si>
  <si>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</si>
  <si>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</si>
  <si>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</si>
  <si>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</si>
  <si>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</si>
  <si>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</si>
  <si>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</si>
  <si>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</si>
  <si>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</si>
  <si>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</si>
  <si>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</si>
  <si>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</si>
  <si>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</si>
  <si>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</si>
  <si>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</si>
  <si>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</si>
  <si>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</si>
  <si>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</si>
  <si>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</si>
  <si>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</si>
  <si>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</si>
  <si>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</si>
  <si>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</si>
  <si>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</si>
  <si>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</si>
  <si>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</si>
  <si>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</si>
  <si>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</si>
  <si>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</si>
  <si>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</si>
  <si>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</si>
  <si>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</si>
  <si>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</si>
  <si>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</si>
  <si>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</si>
  <si>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</si>
  <si>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</si>
  <si>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</si>
  <si>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</si>
  <si>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</si>
  <si>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</si>
  <si>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</si>
  <si>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</si>
  <si>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</si>
  <si>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</si>
  <si>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</si>
  <si>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</si>
  <si>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</si>
  <si>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</si>
  <si>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</si>
  <si>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</si>
  <si>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</si>
  <si>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</si>
  <si>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</si>
  <si>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</si>
  <si>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</si>
  <si>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</si>
  <si>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</si>
  <si>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</si>
  <si>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</si>
  <si>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</si>
  <si>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</si>
  <si>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</si>
  <si>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</si>
  <si>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</si>
  <si>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</si>
  <si>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</si>
  <si>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</si>
  <si>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</si>
  <si>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</si>
  <si>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</si>
  <si>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</si>
  <si>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</si>
  <si>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</si>
  <si>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</si>
  <si>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</si>
  <si>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</si>
  <si>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</si>
  <si>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</si>
  <si>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</si>
  <si>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</si>
  <si>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</si>
  <si>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</si>
  <si>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</si>
  <si>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</si>
  <si>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</si>
  <si>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</si>
  <si>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</si>
  <si>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</si>
  <si>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</si>
  <si>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</si>
  <si>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</si>
  <si>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</si>
  <si>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</si>
  <si>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</si>
  <si>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</si>
  <si>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</si>
  <si>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</si>
  <si>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</si>
  <si>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</si>
  <si>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</si>
  <si>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</si>
  <si>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</si>
  <si>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</si>
  <si>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</si>
  <si>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</si>
  <si>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</si>
  <si>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</si>
  <si>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</si>
  <si>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</si>
  <si>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</si>
  <si>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</si>
  <si>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</si>
  <si>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</si>
  <si>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</si>
  <si>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</si>
  <si>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</si>
  <si>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</si>
  <si>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</si>
  <si>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</si>
  <si>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</si>
  <si>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</si>
  <si>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</si>
  <si>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</si>
  <si>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</si>
  <si>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</si>
  <si>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</si>
  <si>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</si>
  <si>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</si>
  <si>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</si>
  <si>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</si>
  <si>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</si>
  <si>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</si>
  <si>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</si>
  <si>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</si>
  <si>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</si>
  <si>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</si>
  <si>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</si>
  <si>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</si>
  <si>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</si>
  <si>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</si>
  <si>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</si>
  <si>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</si>
  <si>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</si>
  <si>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</si>
  <si>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</si>
  <si>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</si>
  <si>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</si>
  <si>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</si>
  <si>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</si>
  <si>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</si>
  <si>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</si>
  <si>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</si>
  <si>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</si>
  <si>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</si>
  <si>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</si>
  <si>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</si>
  <si>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</si>
  <si>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</si>
  <si>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</si>
  <si>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</si>
  <si>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</si>
  <si>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</si>
  <si>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</si>
  <si>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</si>
  <si>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</si>
  <si>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</si>
  <si>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</si>
  <si>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</si>
  <si>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</si>
  <si>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</si>
  <si>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</si>
  <si>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</si>
  <si>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</si>
  <si>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</si>
  <si>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</si>
  <si>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</si>
  <si>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</si>
  <si>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</si>
  <si>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</si>
  <si>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</si>
  <si>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</si>
  <si>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</si>
  <si>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</si>
  <si>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</si>
  <si>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</si>
  <si>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</si>
  <si>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</si>
  <si>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</si>
  <si>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</si>
  <si>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</si>
  <si>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</si>
  <si>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</si>
  <si>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</si>
  <si>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</si>
  <si>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</si>
  <si>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</si>
  <si>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</si>
  <si>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</si>
  <si>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</si>
  <si>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</si>
  <si>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</si>
  <si>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</si>
  <si>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</si>
  <si>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</si>
  <si>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</si>
  <si>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</si>
  <si>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</si>
  <si>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</si>
  <si>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</si>
  <si>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</si>
  <si>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</si>
  <si>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</si>
  <si>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</si>
  <si>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</si>
  <si>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</si>
  <si>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</si>
  <si>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</si>
  <si>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</si>
  <si>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</si>
  <si>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</si>
  <si>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</si>
  <si>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</si>
  <si>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</si>
  <si>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</si>
  <si>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</si>
  <si>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</si>
  <si>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</si>
  <si>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</si>
  <si>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</si>
  <si>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</si>
  <si>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</si>
  <si>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</si>
  <si>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</si>
  <si>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</si>
  <si>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</si>
  <si>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</si>
  <si>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</si>
  <si>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</si>
  <si>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</si>
  <si>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</si>
  <si>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</si>
  <si>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</si>
  <si>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</si>
  <si>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</si>
  <si>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</si>
  <si>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</si>
  <si>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</si>
  <si>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</si>
  <si>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</si>
  <si>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</si>
  <si>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</si>
  <si>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</si>
  <si>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</si>
  <si>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</si>
  <si>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</si>
  <si>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</si>
  <si>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</si>
  <si>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</si>
  <si>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</si>
  <si>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</si>
  <si>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</si>
  <si>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</si>
  <si>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</si>
  <si>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</si>
  <si>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</si>
  <si>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</si>
  <si>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</si>
  <si>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</si>
  <si>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</si>
  <si>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</si>
  <si>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</si>
  <si>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</si>
  <si>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</si>
  <si>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</si>
  <si>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</si>
  <si>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</si>
  <si>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</si>
  <si>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</si>
  <si>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</si>
  <si>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</si>
  <si>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</si>
  <si>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</si>
  <si>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</si>
  <si>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</si>
  <si>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</si>
  <si>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</si>
  <si>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</si>
  <si>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</si>
  <si>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</si>
  <si>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</si>
  <si>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</si>
  <si>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</si>
  <si>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</si>
  <si>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</si>
  <si>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</si>
  <si>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</si>
  <si>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</si>
  <si>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</si>
  <si>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</si>
  <si>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</si>
  <si>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</si>
  <si>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</si>
  <si>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</si>
  <si>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</si>
  <si>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</si>
  <si>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</si>
  <si>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</si>
  <si>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</si>
  <si>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</si>
  <si>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</si>
  <si>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</si>
  <si>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</si>
  <si>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</si>
  <si>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</si>
  <si>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</si>
  <si>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</si>
  <si>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</si>
  <si>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</si>
  <si>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</si>
  <si>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</si>
  <si>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</si>
  <si>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</si>
  <si>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</si>
  <si>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</si>
  <si>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</si>
  <si>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</si>
  <si>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</si>
  <si>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</si>
  <si>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</si>
  <si>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</si>
  <si>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</si>
  <si>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</si>
  <si>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</si>
  <si>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</si>
  <si>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</si>
  <si>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</si>
  <si>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</si>
  <si>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</si>
  <si>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</si>
  <si>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</si>
  <si>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</si>
  <si>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</si>
  <si>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</si>
  <si>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</si>
  <si>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</si>
  <si>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</si>
  <si>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</si>
  <si>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</si>
  <si>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</si>
  <si>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</si>
  <si>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</si>
  <si>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</si>
  <si>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</si>
  <si>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</si>
  <si>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</si>
  <si>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</si>
  <si>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</si>
  <si>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</si>
  <si>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</si>
  <si>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</si>
  <si>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</si>
  <si>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</si>
  <si>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</si>
  <si>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</si>
  <si>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</si>
  <si>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</si>
  <si>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</si>
  <si>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</si>
  <si>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</si>
  <si>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</si>
  <si>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</si>
  <si>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</si>
  <si>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</si>
  <si>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</si>
  <si>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</si>
  <si>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</si>
  <si>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</si>
  <si>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</si>
  <si>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</si>
  <si>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</si>
  <si>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</si>
  <si>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</si>
  <si>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</si>
  <si>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</si>
  <si>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</si>
  <si>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</si>
  <si>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</si>
  <si>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</si>
  <si>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</si>
  <si>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</si>
  <si>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</si>
  <si>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</si>
  <si>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</si>
  <si>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</si>
  <si>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</si>
  <si>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</si>
  <si>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</si>
  <si>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</si>
  <si>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</si>
  <si>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</si>
  <si>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</si>
  <si>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</si>
  <si>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</si>
  <si>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</si>
  <si>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</si>
  <si>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</si>
  <si>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</si>
  <si>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</si>
  <si>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</si>
  <si>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</si>
  <si>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</si>
  <si>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</si>
  <si>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</si>
  <si>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</si>
  <si>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</si>
  <si>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</si>
  <si>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</si>
  <si>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</si>
  <si>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</si>
  <si>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</si>
  <si>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</si>
  <si>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</si>
  <si>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</si>
  <si>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</si>
  <si>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</si>
  <si>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</si>
  <si>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</si>
  <si>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</si>
  <si>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</si>
  <si>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</si>
  <si>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</si>
  <si>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</si>
  <si>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</si>
  <si>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</si>
  <si>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</si>
  <si>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</si>
  <si>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</si>
  <si>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</si>
  <si>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</si>
  <si>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</si>
  <si>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</si>
  <si>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</si>
  <si>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</si>
  <si>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</si>
  <si>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</si>
  <si>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</si>
  <si>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</si>
  <si>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</si>
  <si>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</si>
  <si>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</si>
  <si>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</si>
  <si>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</si>
  <si>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</si>
  <si>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</si>
  <si>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</si>
  <si>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</si>
  <si>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</si>
  <si>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</si>
  <si>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</si>
  <si>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</si>
  <si>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</si>
  <si>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</si>
  <si>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</si>
  <si>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</si>
  <si>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</si>
  <si>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</si>
  <si>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</si>
  <si>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</si>
  <si>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</si>
  <si>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</si>
  <si>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</si>
  <si>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</si>
  <si>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</si>
  <si>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</si>
  <si>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</si>
  <si>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</si>
  <si>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</si>
  <si>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</si>
  <si>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</si>
  <si>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</si>
  <si>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</si>
  <si>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</si>
  <si>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</si>
  <si>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</si>
  <si>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</si>
  <si>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</si>
  <si>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</si>
  <si>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</si>
  <si>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</si>
  <si>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</si>
  <si>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</si>
  <si>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</si>
  <si>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</si>
  <si>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</si>
  <si>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</si>
  <si>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</si>
  <si>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</si>
  <si>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</si>
  <si>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</si>
  <si>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</si>
  <si>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</si>
  <si>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</si>
  <si>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</si>
  <si>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</si>
  <si>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</si>
  <si>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</si>
  <si>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</si>
  <si>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</si>
  <si>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</si>
  <si>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</si>
  <si>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</si>
  <si>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</si>
  <si>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</si>
  <si>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</si>
  <si>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</si>
  <si>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</si>
  <si>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</si>
  <si>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</si>
  <si>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</si>
  <si>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</si>
  <si>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</si>
  <si>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</si>
  <si>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</si>
  <si>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</si>
  <si>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</si>
  <si>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</si>
  <si>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</si>
  <si>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</si>
  <si>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</si>
  <si>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</si>
  <si>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</si>
  <si>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</si>
  <si>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</si>
  <si>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</si>
  <si>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</si>
  <si>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</si>
  <si>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</si>
  <si>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</si>
  <si>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</si>
  <si>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</si>
  <si>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</si>
  <si>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</si>
  <si>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</si>
  <si>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</si>
  <si>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</si>
  <si>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</si>
  <si>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</si>
  <si>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</si>
  <si>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</si>
  <si>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</si>
  <si>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</si>
  <si>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</si>
  <si>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</si>
  <si>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</si>
  <si>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</si>
  <si>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</si>
  <si>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</si>
  <si>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</si>
  <si>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</si>
  <si>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</si>
  <si>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</si>
  <si>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</si>
  <si>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</si>
  <si>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</si>
  <si>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</si>
  <si>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</si>
  <si>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</si>
  <si>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</si>
  <si>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</si>
  <si>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</si>
  <si>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</si>
  <si>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</si>
  <si>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</si>
  <si>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</si>
  <si>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</si>
  <si>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</si>
  <si>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</si>
  <si>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</si>
  <si>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</si>
  <si>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</si>
  <si>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</si>
  <si>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</si>
  <si>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</si>
  <si>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</si>
  <si>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</si>
  <si>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</si>
  <si>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</si>
  <si>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</si>
  <si>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</si>
  <si>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</si>
  <si>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</si>
  <si>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</si>
  <si>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</si>
  <si>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</si>
  <si>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</si>
  <si>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</si>
  <si>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</si>
  <si>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</si>
  <si>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</si>
  <si>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</si>
  <si>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</si>
  <si>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</si>
  <si>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</si>
  <si>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</si>
  <si>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</si>
  <si>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</si>
  <si>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</si>
  <si>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</si>
  <si>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</si>
  <si>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</si>
  <si>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</si>
  <si>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</si>
  <si>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</si>
  <si>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</si>
  <si>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</si>
  <si>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</si>
  <si>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</si>
  <si>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</si>
  <si>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</si>
  <si>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</si>
  <si>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</si>
  <si>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</si>
  <si>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</si>
  <si>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</si>
  <si>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</si>
  <si>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</si>
  <si>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</si>
  <si>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</si>
  <si>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</si>
  <si>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</si>
  <si>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</si>
  <si>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</si>
  <si>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</si>
  <si>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</si>
  <si>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</si>
  <si>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</si>
  <si>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</si>
  <si>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</si>
  <si>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</si>
  <si>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</si>
  <si>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</si>
  <si>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</si>
  <si>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</si>
  <si>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</si>
  <si>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</si>
  <si>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</si>
  <si>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</si>
  <si>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</si>
  <si>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</si>
  <si>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</si>
  <si>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</si>
  <si>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</si>
  <si>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</si>
  <si>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</si>
  <si>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</si>
  <si>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</si>
  <si>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</si>
  <si>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</si>
  <si>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</si>
  <si>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</si>
  <si>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</si>
  <si>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</si>
  <si>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</si>
  <si>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</si>
  <si>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</si>
  <si>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</si>
  <si>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</si>
  <si>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</si>
  <si>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</si>
  <si>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</si>
  <si>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</si>
  <si>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</si>
  <si>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</si>
  <si>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</si>
  <si>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</si>
  <si>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</si>
  <si>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</si>
  <si>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</si>
  <si>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</si>
  <si>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</si>
  <si>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</si>
  <si>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</si>
  <si>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</si>
  <si>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</si>
  <si>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</si>
  <si>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</si>
  <si>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</si>
  <si>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</si>
  <si>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</si>
  <si>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</si>
  <si>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</si>
  <si>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</si>
  <si>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</si>
  <si>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</si>
  <si>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</si>
  <si>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</si>
  <si>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</si>
  <si>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</si>
  <si>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</si>
  <si>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</si>
  <si>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</si>
  <si>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</si>
  <si>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</si>
  <si>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</si>
  <si>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</si>
  <si>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</si>
  <si>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</si>
  <si>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</si>
  <si>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</si>
  <si>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</si>
  <si>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</si>
  <si>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</si>
  <si>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</si>
  <si>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</si>
  <si>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</si>
  <si>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</si>
  <si>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</si>
  <si>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</si>
  <si>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</si>
  <si>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</si>
  <si>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</si>
  <si>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</si>
  <si>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</si>
  <si>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</si>
  <si>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</si>
  <si>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</si>
  <si>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</si>
  <si>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</si>
  <si>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</si>
  <si>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</si>
  <si>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</si>
  <si>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</si>
  <si>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</si>
  <si>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</si>
  <si>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</si>
  <si>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</si>
  <si>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</si>
  <si>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</si>
  <si>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</si>
  <si>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</si>
  <si>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</si>
  <si>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</si>
  <si>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</si>
  <si>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</si>
  <si>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</si>
  <si>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</si>
  <si>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</si>
  <si>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</si>
  <si>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</si>
  <si>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</si>
  <si>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</si>
  <si>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</si>
  <si>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</si>
  <si>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</si>
  <si>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</si>
  <si>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</si>
  <si>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</si>
  <si>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</si>
  <si>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</si>
  <si>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</si>
  <si>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</si>
  <si>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</si>
  <si>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</si>
  <si>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</si>
  <si>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</si>
  <si>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</si>
  <si>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</si>
  <si>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</si>
  <si>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</si>
  <si>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</si>
  <si>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</si>
  <si>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</si>
  <si>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</si>
  <si>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</si>
  <si>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</si>
  <si>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</si>
  <si>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</si>
  <si>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</si>
  <si>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</si>
  <si>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</si>
  <si>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</si>
  <si>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</si>
  <si>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</si>
  <si>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</si>
  <si>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</si>
  <si>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</si>
  <si>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</si>
  <si>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</si>
  <si>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</si>
  <si>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</si>
  <si>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</si>
  <si>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</si>
  <si>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</si>
  <si>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</si>
  <si>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</si>
  <si>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</si>
  <si>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</si>
  <si>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</si>
  <si>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</si>
  <si>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</si>
  <si>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</si>
  <si>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</si>
  <si>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</si>
  <si>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</si>
  <si>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</si>
  <si>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</si>
  <si>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</si>
  <si>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</si>
  <si>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</si>
  <si>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</si>
  <si>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</si>
  <si>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</si>
  <si>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</si>
  <si>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</si>
  <si>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</si>
  <si>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</si>
  <si>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</si>
  <si>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</si>
  <si>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</si>
  <si>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</si>
  <si>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</si>
  <si>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</si>
  <si>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</si>
  <si>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</si>
  <si>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</si>
  <si>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</si>
  <si>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</si>
  <si>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</si>
  <si>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</si>
  <si>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</si>
  <si>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</si>
  <si>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</si>
  <si>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</si>
  <si>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</si>
  <si>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</si>
  <si>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</si>
  <si>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</si>
  <si>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</si>
  <si>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</si>
  <si>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</si>
  <si>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</si>
  <si>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</si>
  <si>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</si>
  <si>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</si>
  <si>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</si>
  <si>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</si>
  <si>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</si>
  <si>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</si>
  <si>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</si>
  <si>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</si>
  <si>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</si>
  <si>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</si>
  <si>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</si>
  <si>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</si>
  <si>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</si>
  <si>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</si>
  <si>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</si>
  <si>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</si>
  <si>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</si>
  <si>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</si>
  <si>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</si>
  <si>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</si>
  <si>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</si>
  <si>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</si>
  <si>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</si>
  <si>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</si>
  <si>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</si>
  <si>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</si>
  <si>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</si>
  <si>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</si>
  <si>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</si>
  <si>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</si>
  <si>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</si>
  <si>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</si>
  <si>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</si>
  <si>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</si>
  <si>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</si>
  <si>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</si>
  <si>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</si>
  <si>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</si>
  <si>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</si>
  <si>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</si>
  <si>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</si>
  <si>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</si>
  <si>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</si>
  <si>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</si>
  <si>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</si>
  <si>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</si>
  <si>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</si>
  <si>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</si>
  <si>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</si>
  <si>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</si>
  <si>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</si>
  <si>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</si>
  <si>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</si>
  <si>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</si>
  <si>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</si>
  <si>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</si>
  <si>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</si>
  <si>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</si>
  <si>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</si>
  <si>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</si>
  <si>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</si>
  <si>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</si>
  <si>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</si>
  <si>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</si>
  <si>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</si>
  <si>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</si>
  <si>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</si>
  <si>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</si>
  <si>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</si>
  <si>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</si>
  <si>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</si>
  <si>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</si>
  <si>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</si>
  <si>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</si>
  <si>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</si>
  <si>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</si>
  <si>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</si>
  <si>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</si>
  <si>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</si>
  <si>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</si>
  <si>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</si>
  <si>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</si>
  <si>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</si>
  <si>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</si>
  <si>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</si>
  <si>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</si>
  <si>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</si>
  <si>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</si>
  <si>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</si>
  <si>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</si>
  <si>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</si>
  <si>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</si>
  <si>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</si>
  <si>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</si>
  <si>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</si>
  <si>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</si>
  <si>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</si>
  <si>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</si>
  <si>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</si>
  <si>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</si>
  <si>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</si>
  <si>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</si>
  <si>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</si>
  <si>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</si>
  <si>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</si>
  <si>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</si>
  <si>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</si>
  <si>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</si>
  <si>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</si>
  <si>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</si>
  <si>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</si>
  <si>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</si>
  <si>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</si>
  <si>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</si>
  <si>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</si>
  <si>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</si>
  <si>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</si>
  <si>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</si>
  <si>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</si>
  <si>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</si>
  <si>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</si>
  <si>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</si>
  <si>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</si>
  <si>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</si>
  <si>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</si>
  <si>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</si>
  <si>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</si>
  <si>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</si>
  <si>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</si>
  <si>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</si>
  <si>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</si>
  <si>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</si>
  <si>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</si>
  <si>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</si>
  <si>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</si>
  <si>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</si>
  <si>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</si>
  <si>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</si>
  <si>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</si>
  <si>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</si>
  <si>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</si>
  <si>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</si>
  <si>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</si>
  <si>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</si>
  <si>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</si>
  <si>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</si>
  <si>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</si>
  <si>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</si>
  <si>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</si>
  <si>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</si>
  <si>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</si>
  <si>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</si>
  <si>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</si>
  <si>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</si>
  <si>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</si>
  <si>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</si>
  <si>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</si>
  <si>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</si>
  <si>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</si>
  <si>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</si>
  <si>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</si>
  <si>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</si>
  <si>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</si>
  <si>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</si>
  <si>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</si>
  <si>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</si>
  <si>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</si>
  <si>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</si>
  <si>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</si>
  <si>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</si>
  <si>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</si>
  <si>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</si>
  <si>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</si>
  <si>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</si>
  <si>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</si>
  <si>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</si>
  <si>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</si>
  <si>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</si>
  <si>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</si>
  <si>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</si>
  <si>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</si>
  <si>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</si>
  <si>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</si>
  <si>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</si>
  <si>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</si>
  <si>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</si>
  <si>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</si>
  <si>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</si>
  <si>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</si>
  <si>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</si>
  <si>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</si>
  <si>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</si>
  <si>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</si>
  <si>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</si>
  <si>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</si>
  <si>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</si>
  <si>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</si>
  <si>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</si>
  <si>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</si>
  <si>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</si>
  <si>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</si>
  <si>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</si>
  <si>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</si>
  <si>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</si>
  <si>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</si>
  <si>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</si>
  <si>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</si>
  <si>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</si>
  <si>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</si>
  <si>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</si>
  <si>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</si>
  <si>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</si>
  <si>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</si>
  <si>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</si>
  <si>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</si>
  <si>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</si>
  <si>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</si>
  <si>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</si>
  <si>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</si>
  <si>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</si>
  <si>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</si>
  <si>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</si>
  <si>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</si>
  <si>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</si>
  <si>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</si>
  <si>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</si>
  <si>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</si>
  <si>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</si>
  <si>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</si>
  <si>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</si>
  <si>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</si>
  <si>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</si>
  <si>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</si>
  <si>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</si>
  <si>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</si>
  <si>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</si>
  <si>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</si>
  <si>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</si>
  <si>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</si>
  <si>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</si>
  <si>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</si>
  <si>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</si>
  <si>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</si>
  <si>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</si>
  <si>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</si>
  <si>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</si>
  <si>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</si>
  <si>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</si>
  <si>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</si>
  <si>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</si>
  <si>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</si>
  <si>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</si>
  <si>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</si>
  <si>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</si>
  <si>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</si>
  <si>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</si>
  <si>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</si>
  <si>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</si>
  <si>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</si>
  <si>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</si>
  <si>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</si>
  <si>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</si>
  <si>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</si>
  <si>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</si>
  <si>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</si>
  <si>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</si>
  <si>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</si>
  <si>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</si>
  <si>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</si>
  <si>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</si>
  <si>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</si>
  <si>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</si>
  <si>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</si>
  <si>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</si>
  <si>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</si>
  <si>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</si>
  <si>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</si>
  <si>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</si>
  <si>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</si>
  <si>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</si>
  <si>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</si>
  <si>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</si>
  <si>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</si>
  <si>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</si>
  <si>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</si>
  <si>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</si>
  <si>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</si>
  <si>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</si>
  <si>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</si>
  <si>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</si>
  <si>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</si>
  <si>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</si>
  <si>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</si>
  <si>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</si>
  <si>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</si>
  <si>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</si>
  <si>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</si>
  <si>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</si>
  <si>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</si>
  <si>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</si>
  <si>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</si>
  <si>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</si>
  <si>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</si>
  <si>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</si>
  <si>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</si>
  <si>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</si>
  <si>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</si>
  <si>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</si>
  <si>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</si>
  <si>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</si>
  <si>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</si>
  <si>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</si>
  <si>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</si>
  <si>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</si>
  <si>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</si>
  <si>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</si>
  <si>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</si>
  <si>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</si>
  <si>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</si>
  <si>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</si>
  <si>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</si>
  <si>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</si>
  <si>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</si>
  <si>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</si>
  <si>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</si>
  <si>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</si>
  <si>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</si>
  <si>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</si>
  <si>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</si>
  <si>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</si>
  <si>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</si>
  <si>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</si>
  <si>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</si>
  <si>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</si>
  <si>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</si>
  <si>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</si>
  <si>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</si>
  <si>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</si>
  <si>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</si>
  <si>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</si>
  <si>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</si>
  <si>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</si>
  <si>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</si>
  <si>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</si>
  <si>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</si>
  <si>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</si>
  <si>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</si>
  <si>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</si>
  <si>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</si>
  <si>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</si>
  <si>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</si>
  <si>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</si>
  <si>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</si>
  <si>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</si>
  <si>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</si>
  <si>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</si>
  <si>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</si>
  <si>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</si>
  <si>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</si>
  <si>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</si>
  <si>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</si>
  <si>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</si>
  <si>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</si>
  <si>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</si>
  <si>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</si>
  <si>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</si>
  <si>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</si>
  <si>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</si>
  <si>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</si>
  <si>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</si>
  <si>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</si>
  <si>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</si>
  <si>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</si>
  <si>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</si>
  <si>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</si>
  <si>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</si>
  <si>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</si>
  <si>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</si>
  <si>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</si>
  <si>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</si>
  <si>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</si>
  <si>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</si>
  <si>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</si>
  <si>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</si>
  <si>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</si>
  <si>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</si>
  <si>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</si>
  <si>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</si>
  <si>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</si>
  <si>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</si>
  <si>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</si>
  <si>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</si>
  <si>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</si>
  <si>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</si>
  <si>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</si>
  <si>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</si>
  <si>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</si>
  <si>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</si>
  <si>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</si>
  <si>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</si>
  <si>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</si>
  <si>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</si>
  <si>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</si>
  <si>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</si>
  <si>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</si>
  <si>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</si>
  <si>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</si>
  <si>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</si>
  <si>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</si>
  <si>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</si>
  <si>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</si>
  <si>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</si>
  <si>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</si>
  <si>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</si>
  <si>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</si>
  <si>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</si>
  <si>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</si>
  <si>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</si>
  <si>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</si>
  <si>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</si>
  <si>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</si>
  <si>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</si>
  <si>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</si>
  <si>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</si>
  <si>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</si>
  <si>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</si>
  <si>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</si>
  <si>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</si>
  <si>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</si>
  <si>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</si>
  <si>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</si>
  <si>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</si>
  <si>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</si>
  <si>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</si>
  <si>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</si>
  <si>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</si>
  <si>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</si>
  <si>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</si>
  <si>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</si>
  <si>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</si>
  <si>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</si>
  <si>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</si>
  <si>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</si>
  <si>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</si>
  <si>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</si>
  <si>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</si>
  <si>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</si>
  <si>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</si>
  <si>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</si>
  <si>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</si>
  <si>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</si>
  <si>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</si>
  <si>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</si>
  <si>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</si>
  <si>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</si>
  <si>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</si>
  <si>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</si>
  <si>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</si>
  <si>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</si>
  <si>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</si>
  <si>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</si>
  <si>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</si>
  <si>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</si>
  <si>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</si>
  <si>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</si>
  <si>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</si>
  <si>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</si>
  <si>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</si>
  <si>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</si>
  <si>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</si>
  <si>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</si>
  <si>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</si>
  <si>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</si>
  <si>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</si>
  <si>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</si>
  <si>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</si>
  <si>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</si>
  <si>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</si>
  <si>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</si>
  <si>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</si>
  <si>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</si>
  <si>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</si>
  <si>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</si>
  <si>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</si>
  <si>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</si>
  <si>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</si>
  <si>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</si>
  <si>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</si>
  <si>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</si>
  <si>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</si>
  <si>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</si>
  <si>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</si>
  <si>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</si>
  <si>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</si>
  <si>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</si>
  <si>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</si>
  <si>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</si>
  <si>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</si>
  <si>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</si>
  <si>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</si>
  <si>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</si>
  <si>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</si>
  <si>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</si>
  <si>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</si>
  <si>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</si>
  <si>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</si>
  <si>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</si>
  <si>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</si>
  <si>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</si>
  <si>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</si>
  <si>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</si>
  <si>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</si>
  <si>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</si>
  <si>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</si>
  <si>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</si>
  <si>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</si>
  <si>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</si>
  <si>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</si>
  <si>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</si>
  <si>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</si>
  <si>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</si>
  <si>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</si>
  <si>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</si>
  <si>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</si>
  <si>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</si>
  <si>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</si>
  <si>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</si>
  <si>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</si>
  <si>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</si>
  <si>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</si>
  <si>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</si>
  <si>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</si>
  <si>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</si>
  <si>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</si>
  <si>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</si>
  <si>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</si>
  <si>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</si>
  <si>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</si>
  <si>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</si>
  <si>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</si>
  <si>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</si>
  <si>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</si>
  <si>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</si>
  <si>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</si>
  <si>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</si>
  <si>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</si>
  <si>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</si>
  <si>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</si>
  <si>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</si>
  <si>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</si>
  <si>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</si>
  <si>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</si>
  <si>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</si>
  <si>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</si>
  <si>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</si>
  <si>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</si>
  <si>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</si>
  <si>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</si>
  <si>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</si>
  <si>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</si>
  <si>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</si>
  <si>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</si>
  <si>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</si>
  <si>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</si>
  <si>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</si>
  <si>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</si>
  <si>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</si>
  <si>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</si>
  <si>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</si>
  <si>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</si>
  <si>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</si>
  <si>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</si>
  <si>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</si>
  <si>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</si>
  <si>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</si>
  <si>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</si>
  <si>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</si>
  <si>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</si>
  <si>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</si>
  <si>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</si>
  <si>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</si>
  <si>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</si>
  <si>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</si>
  <si>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</si>
  <si>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</si>
  <si>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</si>
  <si>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</si>
  <si>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</si>
  <si>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</si>
  <si>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</si>
  <si>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</si>
  <si>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</si>
  <si>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</si>
  <si>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</si>
  <si>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</si>
  <si>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</si>
  <si>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</si>
  <si>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</si>
  <si>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</si>
  <si>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</si>
  <si>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</si>
  <si>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</si>
  <si>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</si>
  <si>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</si>
  <si>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</si>
  <si>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</si>
  <si>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</si>
  <si>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</si>
  <si>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</si>
  <si>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</si>
  <si>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</si>
  <si>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</si>
  <si>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</si>
  <si>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</si>
  <si>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</si>
  <si>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</si>
  <si>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</si>
  <si>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</si>
  <si>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</si>
  <si>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</si>
  <si>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</si>
  <si>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</si>
  <si>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</si>
  <si>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</si>
  <si>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</si>
  <si>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</si>
  <si>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</si>
  <si>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</si>
  <si>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</si>
  <si>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</si>
  <si>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</si>
  <si>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</si>
  <si>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</si>
  <si>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</si>
  <si>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</si>
  <si>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</si>
  <si>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</si>
  <si>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</si>
  <si>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</si>
  <si>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</si>
  <si>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</si>
  <si>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</si>
  <si>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</si>
  <si>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</si>
  <si>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</si>
  <si>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</si>
  <si>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</si>
  <si>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</si>
  <si>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</si>
  <si>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</si>
  <si>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</si>
  <si>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</si>
  <si>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</si>
  <si>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</si>
  <si>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</si>
  <si>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</si>
  <si>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</si>
  <si>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</si>
  <si>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</si>
  <si>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</si>
  <si>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</si>
  <si>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</si>
  <si>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</si>
  <si>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</si>
  <si>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</si>
  <si>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</si>
  <si>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</si>
  <si>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</si>
  <si>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</si>
  <si>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</si>
  <si>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</si>
  <si>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</si>
  <si>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</si>
  <si>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</si>
  <si>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</si>
  <si>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</si>
  <si>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</si>
  <si>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</si>
  <si>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</si>
  <si>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</si>
  <si>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</si>
  <si>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</si>
  <si>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</si>
  <si>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</si>
  <si>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</si>
  <si>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</si>
  <si>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</si>
  <si>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</si>
  <si>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</si>
  <si>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</si>
  <si>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</si>
  <si>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</si>
  <si>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</si>
  <si>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</si>
  <si>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</si>
  <si>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</si>
  <si>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</si>
  <si>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</si>
  <si>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</si>
  <si>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</si>
  <si>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</si>
  <si>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</si>
  <si>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</si>
  <si>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</si>
  <si>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</si>
  <si>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</si>
  <si>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</si>
  <si>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</si>
  <si>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</si>
  <si>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</si>
  <si>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</si>
  <si>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</si>
  <si>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</si>
  <si>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</si>
  <si>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</si>
  <si>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</si>
  <si>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</si>
  <si>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</si>
  <si>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</si>
  <si>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</si>
  <si>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</si>
  <si>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</si>
  <si>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</si>
  <si>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</si>
  <si>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</si>
  <si>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</si>
  <si>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</si>
  <si>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</si>
  <si>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</si>
  <si>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</si>
  <si>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</si>
  <si>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</si>
  <si>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</si>
  <si>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</si>
  <si>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</si>
  <si>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</si>
  <si>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</si>
  <si>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</si>
  <si>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</si>
  <si>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</si>
  <si>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</si>
  <si>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</si>
  <si>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</si>
  <si>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</si>
  <si>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</si>
  <si>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</si>
  <si>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</si>
  <si>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</si>
  <si>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</si>
  <si>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</si>
  <si>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</si>
  <si>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</si>
  <si>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</si>
  <si>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</si>
  <si>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</si>
  <si>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</si>
  <si>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</si>
  <si>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</si>
  <si>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</si>
  <si>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</si>
  <si>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</si>
  <si>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</si>
  <si>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</si>
  <si>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</si>
  <si>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</si>
  <si>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</si>
  <si>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</si>
  <si>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</si>
  <si>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</si>
  <si>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</si>
  <si>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</si>
  <si>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</si>
  <si>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</si>
  <si>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</si>
  <si>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</si>
  <si>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</si>
  <si>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</si>
  <si>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</si>
  <si>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</si>
  <si>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</si>
  <si>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</si>
  <si>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</si>
  <si>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</si>
  <si>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</si>
  <si>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</si>
  <si>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</si>
  <si>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</si>
  <si>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</si>
  <si>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</si>
  <si>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</si>
  <si>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</si>
  <si>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</si>
  <si>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</si>
  <si>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</si>
  <si>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</si>
  <si>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</si>
  <si>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</si>
  <si>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</si>
  <si>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</si>
  <si>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</si>
  <si>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</si>
  <si>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</si>
  <si>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</si>
  <si>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</si>
  <si>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</si>
  <si>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</si>
  <si>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</si>
  <si>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</si>
  <si>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</si>
  <si>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</si>
  <si>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</si>
  <si>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</si>
  <si>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</si>
  <si>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</si>
  <si>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</si>
  <si>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</si>
  <si>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</si>
  <si>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</si>
  <si>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</si>
  <si>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</si>
  <si>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</si>
  <si>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</si>
  <si>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</si>
  <si>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</si>
  <si>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</si>
  <si>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</si>
  <si>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</si>
  <si>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</si>
  <si>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</si>
  <si>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</si>
  <si>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</si>
  <si>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</si>
  <si>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</si>
  <si>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</si>
  <si>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</si>
  <si>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</si>
  <si>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</si>
  <si>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</si>
  <si>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</si>
  <si>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</si>
  <si>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</si>
  <si>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</si>
  <si>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</si>
  <si>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</si>
  <si>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</si>
  <si>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</si>
  <si>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</si>
  <si>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</si>
  <si>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</si>
  <si>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</si>
  <si>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</si>
  <si>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</si>
  <si>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</si>
  <si>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</si>
  <si>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</si>
  <si>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</si>
  <si>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</si>
  <si>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</si>
  <si>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</si>
  <si>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</si>
  <si>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</si>
  <si>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</si>
  <si>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</si>
  <si>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</si>
  <si>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</si>
  <si>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</si>
  <si>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</si>
  <si>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</si>
  <si>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</si>
  <si>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</si>
  <si>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</si>
  <si>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</si>
  <si>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</si>
  <si>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</si>
  <si>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</si>
  <si>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</si>
  <si>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</si>
  <si>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</si>
  <si>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</si>
  <si>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</si>
  <si>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</si>
  <si>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</si>
  <si>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</si>
  <si>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</si>
  <si>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</si>
  <si>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</si>
  <si>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</si>
  <si>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</si>
  <si>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</si>
  <si>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</si>
  <si>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</si>
  <si>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</si>
  <si>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</si>
  <si>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</si>
  <si>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</si>
  <si>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</si>
  <si>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</si>
  <si>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</si>
  <si>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</si>
  <si>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</si>
  <si>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</si>
  <si>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</si>
  <si>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</si>
  <si>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</si>
  <si>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</si>
  <si>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</si>
  <si>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</si>
  <si>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</si>
  <si>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</si>
  <si>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</si>
  <si>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</si>
  <si>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</si>
  <si>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</si>
  <si>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</si>
  <si>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</si>
  <si>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</si>
  <si>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</si>
  <si>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</si>
  <si>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</si>
  <si>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</si>
  <si>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</si>
  <si>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</si>
  <si>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</si>
  <si>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</si>
  <si>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</si>
  <si>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</si>
  <si>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</si>
  <si>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</si>
  <si>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</si>
  <si>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</si>
  <si>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</si>
  <si>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</si>
  <si>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</si>
  <si>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</si>
  <si>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</si>
  <si>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</si>
  <si>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</si>
  <si>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</si>
  <si>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</si>
  <si>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</si>
  <si>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</si>
  <si>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</si>
  <si>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</si>
  <si>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</si>
  <si>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</si>
  <si>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</si>
  <si>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</si>
  <si>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</si>
  <si>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</si>
  <si>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</si>
  <si>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</si>
  <si>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</si>
  <si>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</si>
  <si>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</si>
  <si>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</si>
  <si>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</si>
  <si>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</si>
  <si>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</si>
  <si>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</si>
  <si>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</si>
  <si>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</si>
  <si>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</si>
  <si>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</si>
  <si>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</si>
  <si>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</si>
  <si>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</si>
  <si>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</si>
  <si>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</si>
  <si>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</si>
  <si>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</si>
  <si>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</si>
  <si>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</si>
  <si>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</si>
  <si>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</si>
  <si>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</si>
  <si>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</si>
  <si>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</si>
  <si>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</si>
  <si>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</si>
  <si>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</si>
  <si>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</si>
  <si>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</si>
  <si>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</si>
  <si>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</si>
  <si>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</si>
  <si>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</si>
  <si>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</si>
  <si>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</si>
  <si>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</si>
  <si>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</si>
  <si>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</si>
  <si>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</si>
  <si>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</si>
  <si>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</si>
  <si>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</si>
  <si>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</si>
  <si>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</si>
  <si>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</si>
  <si>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</si>
  <si>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</si>
  <si>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</si>
  <si>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</si>
  <si>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</si>
  <si>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</si>
  <si>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</si>
  <si>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</si>
  <si>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</si>
  <si>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</si>
  <si>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</si>
  <si>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</si>
  <si>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</si>
  <si>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</si>
  <si>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</si>
  <si>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</si>
  <si>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</si>
  <si>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</si>
  <si>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</si>
  <si>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</si>
  <si>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</si>
  <si>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</si>
  <si>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</si>
  <si>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</si>
  <si>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</si>
  <si>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</si>
  <si>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</si>
  <si>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</si>
  <si>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</si>
  <si>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</si>
  <si>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</si>
  <si>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</si>
  <si>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</si>
  <si>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</si>
  <si>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</si>
  <si>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</si>
  <si>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</si>
  <si>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</si>
  <si>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</si>
  <si>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</si>
  <si>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</si>
  <si>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</si>
  <si>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</si>
  <si>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</si>
  <si>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</si>
  <si>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</si>
  <si>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</si>
  <si>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</si>
  <si>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</si>
  <si>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</si>
  <si>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</si>
  <si>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</si>
  <si>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</si>
  <si>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</si>
  <si>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</si>
  <si>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</si>
  <si>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</si>
  <si>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</si>
  <si>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</si>
  <si>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</si>
  <si>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</si>
  <si>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</si>
  <si>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</si>
  <si>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</si>
  <si>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</si>
  <si>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</si>
  <si>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</si>
  <si>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</si>
  <si>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</si>
  <si>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</si>
  <si>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</si>
  <si>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</si>
  <si>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</si>
  <si>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</si>
  <si>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</si>
  <si>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</si>
  <si>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</si>
  <si>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</si>
  <si>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</si>
  <si>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</si>
  <si>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</si>
  <si>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</si>
  <si>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</si>
  <si>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</si>
  <si>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</si>
  <si>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</si>
  <si>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</si>
  <si>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</si>
  <si>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</si>
  <si>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</si>
  <si>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</si>
  <si>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</si>
  <si>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</si>
  <si>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</si>
  <si>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</si>
  <si>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</si>
  <si>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</si>
  <si>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</si>
  <si>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</si>
  <si>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</si>
  <si>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</si>
  <si>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</si>
  <si>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</si>
  <si>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</si>
  <si>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</si>
  <si>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</si>
  <si>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</si>
  <si>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</si>
  <si>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</si>
  <si>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</si>
  <si>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</si>
  <si>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</si>
  <si>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</si>
  <si>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</si>
  <si>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</si>
  <si>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</si>
  <si>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</si>
  <si>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</si>
  <si>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</si>
  <si>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</si>
  <si>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</si>
  <si>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</si>
  <si>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</si>
  <si>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</si>
  <si>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</si>
  <si>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</si>
  <si>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</si>
  <si>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</si>
  <si>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</si>
  <si>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</si>
  <si>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</si>
  <si>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</si>
  <si>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</si>
  <si>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</si>
  <si>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</si>
  <si>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</si>
  <si>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</si>
  <si>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</si>
  <si>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</si>
  <si>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</si>
  <si>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</si>
  <si>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</si>
  <si>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</si>
  <si>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</si>
  <si>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</si>
  <si>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</si>
  <si>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</si>
  <si>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</si>
  <si>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</si>
  <si>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</si>
  <si>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</si>
  <si>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</si>
  <si>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</si>
  <si>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</si>
  <si>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</si>
  <si>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</si>
  <si>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</si>
  <si>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</si>
  <si>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</si>
  <si>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</si>
  <si>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</si>
  <si>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</si>
  <si>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</si>
  <si>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</si>
  <si>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</si>
  <si>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</si>
  <si>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</si>
  <si>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</si>
  <si>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</si>
  <si>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</si>
  <si>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</si>
  <si>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</si>
  <si>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</si>
  <si>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</si>
  <si>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</si>
  <si>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</si>
  <si>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</si>
  <si>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</si>
  <si>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</si>
  <si>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</si>
  <si>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</si>
  <si>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</si>
  <si>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</si>
  <si>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</si>
  <si>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</si>
  <si>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</si>
  <si>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</si>
  <si>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</si>
  <si>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</si>
  <si>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</si>
  <si>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</si>
  <si>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</si>
  <si>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</si>
  <si>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</si>
  <si>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</si>
  <si>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</si>
  <si>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</si>
  <si>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</si>
  <si>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</si>
  <si>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</si>
  <si>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</si>
  <si>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</si>
  <si>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</si>
  <si>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</si>
  <si>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</si>
  <si>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</si>
  <si>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</si>
  <si>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</si>
  <si>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</si>
  <si>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</si>
  <si>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</si>
  <si>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</si>
  <si>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</si>
  <si>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</si>
  <si>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</si>
  <si>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</si>
  <si>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</si>
  <si>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</si>
  <si>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</si>
  <si>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</si>
  <si>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</si>
  <si>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</si>
  <si>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</si>
  <si>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</si>
  <si>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</si>
  <si>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</si>
  <si>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</si>
  <si>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</si>
  <si>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</si>
  <si>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</si>
  <si>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</si>
  <si>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</si>
  <si>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</si>
  <si>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</si>
  <si>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</si>
  <si>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</si>
  <si>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</si>
  <si>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</si>
  <si>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</si>
  <si>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</si>
  <si>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</si>
  <si>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</si>
  <si>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</si>
  <si>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</si>
  <si>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</si>
  <si>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</si>
  <si>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</si>
  <si>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</si>
  <si>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</si>
  <si>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</si>
  <si>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</si>
  <si>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</si>
  <si>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</si>
  <si>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</si>
  <si>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</si>
  <si>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</si>
  <si>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</si>
  <si>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</si>
  <si>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</si>
  <si>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</si>
  <si>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</si>
  <si>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</si>
  <si>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</si>
  <si>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</si>
  <si>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</si>
  <si>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</si>
  <si>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</si>
  <si>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</si>
  <si>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</si>
  <si>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</si>
  <si>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</si>
  <si>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</si>
  <si>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</si>
  <si>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</si>
  <si>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</si>
  <si>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</si>
  <si>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</si>
  <si>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</si>
  <si>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</si>
  <si>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</si>
  <si>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</si>
  <si>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</si>
  <si>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</si>
  <si>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</si>
  <si>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</si>
  <si>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</si>
  <si>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</si>
  <si>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</si>
  <si>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</si>
  <si>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</si>
  <si>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</si>
  <si>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</si>
  <si>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</si>
  <si>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</si>
  <si>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</si>
  <si>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</si>
  <si>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</si>
  <si>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</si>
  <si>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</si>
  <si>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</si>
  <si>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</si>
  <si>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</si>
  <si>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</si>
  <si>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</si>
  <si>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</si>
  <si>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</si>
  <si>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</si>
  <si>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</si>
  <si>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</si>
  <si>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</si>
  <si>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</si>
  <si>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</si>
  <si>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</si>
  <si>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</si>
  <si>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</si>
  <si>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</si>
  <si>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</si>
  <si>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</si>
  <si>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</si>
  <si>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</si>
  <si>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</si>
  <si>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</si>
  <si>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</si>
  <si>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</si>
  <si>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</si>
  <si>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</si>
  <si>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</si>
  <si>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</si>
  <si>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</si>
  <si>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</si>
  <si>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</si>
  <si>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</si>
  <si>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</si>
  <si>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</si>
  <si>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</si>
  <si>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</si>
  <si>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</si>
  <si>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</si>
  <si>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</si>
  <si>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</si>
  <si>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</si>
  <si>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</si>
  <si>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</si>
  <si>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</si>
  <si>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</si>
  <si>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</si>
  <si>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</si>
  <si>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</si>
  <si>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</si>
  <si>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</si>
  <si>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</si>
  <si>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</si>
  <si>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</si>
  <si>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</si>
  <si>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</si>
  <si>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</si>
  <si>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</si>
  <si>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</si>
  <si>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</si>
  <si>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</si>
  <si>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</si>
  <si>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</si>
  <si>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</si>
  <si>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</si>
  <si>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</si>
  <si>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</si>
  <si>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</si>
  <si>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</si>
  <si>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</si>
  <si>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</si>
  <si>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</si>
  <si>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</si>
  <si>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</si>
  <si>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</si>
  <si>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</si>
  <si>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</si>
  <si>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</si>
  <si>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</si>
  <si>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</si>
  <si>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</si>
  <si>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</si>
  <si>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</si>
  <si>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</si>
  <si>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</si>
  <si>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</si>
  <si>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</si>
  <si>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</si>
  <si>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</si>
  <si>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</si>
  <si>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</si>
  <si>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</si>
  <si>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</si>
  <si>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</si>
  <si>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</si>
  <si>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</si>
  <si>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</si>
  <si>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</si>
  <si>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</si>
  <si>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</si>
  <si>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</si>
  <si>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</si>
  <si>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</si>
  <si>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</si>
  <si>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</si>
  <si>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</si>
  <si>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</si>
  <si>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</si>
  <si>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</si>
  <si>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</si>
  <si>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</si>
  <si>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</si>
  <si>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</si>
  <si>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</si>
  <si>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</si>
  <si>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</si>
  <si>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</si>
  <si>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</si>
  <si>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</si>
  <si>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</si>
  <si>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</si>
  <si>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</si>
  <si>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</si>
  <si>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</si>
  <si>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</si>
  <si>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</si>
  <si>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</si>
  <si>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</si>
  <si>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</si>
  <si>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</si>
  <si>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</si>
  <si>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</si>
  <si>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</si>
  <si>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</si>
  <si>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</si>
  <si>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</si>
  <si>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</si>
  <si>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</si>
  <si>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</si>
  <si>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</si>
  <si>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</si>
  <si>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</si>
  <si>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</si>
  <si>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</si>
  <si>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</si>
  <si>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</si>
  <si>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</si>
  <si>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</si>
  <si>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</si>
  <si>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</si>
  <si>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</si>
  <si>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</si>
  <si>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</si>
  <si>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</si>
  <si>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</si>
  <si>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</si>
  <si>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</si>
  <si>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</si>
  <si>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</si>
  <si>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</si>
  <si>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</si>
  <si>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</si>
  <si>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</si>
  <si>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</si>
  <si>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</si>
  <si>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</si>
  <si>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</si>
  <si>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</si>
  <si>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</si>
  <si>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</si>
  <si>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</si>
  <si>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</si>
  <si>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</si>
  <si>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</si>
  <si>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</si>
  <si>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</si>
  <si>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</si>
  <si>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</si>
  <si>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</si>
  <si>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</si>
  <si>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</si>
  <si>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</si>
  <si>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</si>
  <si>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</si>
  <si>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</si>
  <si>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</si>
  <si>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</si>
  <si>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</si>
  <si>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</si>
  <si>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</si>
  <si>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</si>
  <si>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</si>
  <si>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</si>
  <si>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</si>
  <si>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</si>
  <si>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</si>
  <si>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</si>
  <si>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</si>
  <si>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</si>
  <si>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</si>
  <si>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</si>
  <si>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</si>
  <si>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</si>
  <si>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</si>
  <si>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</si>
  <si>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</si>
  <si>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</si>
  <si>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</si>
  <si>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</si>
  <si>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</si>
  <si>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</si>
  <si>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</si>
  <si>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</si>
  <si>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</si>
  <si>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</si>
  <si>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</si>
  <si>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</si>
  <si>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</si>
  <si>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</si>
  <si>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</si>
  <si>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</si>
  <si>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</si>
  <si>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</si>
  <si>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</si>
  <si>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</si>
  <si>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</si>
  <si>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</si>
  <si>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</si>
  <si>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</si>
  <si>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</si>
  <si>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</si>
  <si>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</si>
  <si>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</si>
  <si>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</si>
  <si>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</si>
  <si>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</si>
  <si>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</si>
  <si>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</si>
  <si>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</si>
  <si>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</si>
  <si>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</si>
  <si>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</si>
  <si>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</si>
  <si>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</si>
  <si>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</si>
  <si>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</si>
  <si>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</si>
  <si>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</si>
  <si>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</si>
  <si>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</si>
  <si>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</si>
  <si>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</si>
  <si>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</si>
  <si>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</si>
  <si>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</si>
  <si>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</si>
  <si>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</si>
  <si>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</si>
  <si>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</si>
  <si>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</si>
  <si>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</si>
  <si>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</si>
  <si>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</si>
  <si>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</si>
  <si>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</si>
  <si>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</si>
  <si>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</si>
  <si>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</si>
  <si>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</si>
  <si>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</si>
  <si>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</si>
  <si>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</si>
  <si>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</si>
  <si>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</si>
  <si>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</si>
  <si>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</si>
  <si>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</si>
  <si>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</si>
  <si>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</si>
  <si>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</si>
  <si>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</si>
  <si>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</si>
  <si>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</si>
  <si>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</si>
  <si>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</si>
  <si>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</si>
  <si>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</si>
  <si>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</si>
  <si>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</si>
  <si>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</si>
  <si>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</si>
  <si>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</si>
  <si>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</si>
  <si>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</si>
  <si>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</si>
  <si>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</si>
  <si>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</si>
  <si>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</si>
  <si>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</si>
  <si>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</si>
  <si>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</si>
  <si>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</si>
  <si>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</si>
  <si>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</si>
  <si>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</si>
  <si>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</si>
  <si>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</si>
  <si>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</si>
  <si>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</si>
  <si>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</si>
  <si>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</si>
  <si>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</si>
  <si>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</si>
  <si>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</si>
  <si>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</si>
  <si>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</si>
  <si>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</si>
  <si>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</si>
  <si>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</si>
  <si>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</si>
  <si>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</si>
  <si>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</si>
  <si>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</si>
  <si>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</si>
  <si>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</si>
  <si>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</si>
  <si>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</si>
  <si>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</si>
  <si>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</si>
  <si>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</si>
  <si>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</si>
  <si>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</si>
  <si>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</si>
  <si>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</si>
  <si>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</si>
  <si>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</si>
  <si>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</si>
  <si>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</si>
  <si>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</si>
  <si>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</si>
  <si>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</si>
  <si>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</si>
  <si>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</si>
  <si>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</si>
  <si>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</si>
  <si>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</si>
  <si>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</si>
  <si>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</si>
  <si>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</si>
  <si>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</si>
  <si>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</si>
  <si>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</si>
  <si>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</si>
  <si>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</si>
  <si>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</si>
  <si>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</si>
  <si>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</si>
  <si>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</si>
  <si>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</si>
  <si>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</si>
  <si>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</si>
  <si>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</si>
  <si>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</si>
  <si>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</si>
  <si>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</si>
  <si>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</si>
  <si>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</si>
  <si>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</si>
  <si>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</si>
  <si>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</si>
  <si>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</si>
  <si>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</si>
  <si>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</si>
  <si>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</si>
  <si>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</si>
  <si>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</si>
  <si>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</si>
  <si>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</si>
  <si>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</si>
  <si>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</si>
  <si>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</si>
  <si>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</si>
  <si>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</si>
  <si>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</si>
  <si>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</si>
  <si>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</si>
  <si>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</si>
  <si>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</si>
  <si>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</si>
  <si>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</si>
  <si>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</si>
  <si>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</si>
  <si>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</si>
  <si>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</si>
  <si>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</si>
  <si>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</si>
  <si>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</si>
  <si>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</si>
  <si>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</si>
  <si>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</si>
  <si>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</si>
  <si>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</si>
  <si>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</si>
  <si>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</si>
  <si>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</si>
  <si>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</si>
  <si>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</si>
  <si>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</si>
  <si>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</si>
  <si>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</si>
  <si>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</si>
  <si>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</si>
  <si>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</si>
  <si>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</si>
  <si>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</si>
  <si>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</si>
  <si>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</si>
  <si>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</si>
  <si>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</si>
  <si>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</si>
  <si>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</si>
  <si>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</si>
  <si>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</si>
  <si>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</si>
  <si>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</si>
  <si>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</si>
  <si>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</si>
  <si>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</si>
  <si>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</si>
  <si>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</si>
  <si>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</si>
  <si>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</si>
  <si>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</si>
  <si>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</si>
  <si>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</si>
  <si>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</si>
  <si>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</si>
  <si>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</si>
  <si>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</si>
  <si>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</si>
  <si>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</si>
  <si>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</si>
  <si>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</si>
  <si>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</si>
  <si>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</si>
  <si>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</si>
  <si>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</si>
  <si>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</si>
  <si>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</si>
  <si>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</si>
  <si>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</si>
  <si>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</si>
  <si>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</si>
  <si>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</si>
  <si>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</si>
  <si>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</si>
  <si>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</si>
  <si>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</si>
  <si>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</si>
  <si>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</si>
  <si>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</si>
  <si>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</si>
  <si>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</si>
  <si>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</si>
  <si>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</si>
  <si>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</si>
  <si>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</si>
  <si>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</si>
  <si>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</si>
  <si>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</si>
  <si>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</si>
  <si>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</si>
  <si>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</si>
  <si>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</si>
  <si>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</si>
  <si>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</si>
  <si>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</si>
  <si>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</si>
  <si>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</si>
  <si>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</si>
  <si>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</si>
  <si>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</si>
  <si>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</si>
  <si>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</si>
  <si>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</si>
  <si>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</si>
  <si>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</si>
  <si>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</si>
  <si>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</si>
  <si>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</si>
  <si>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</si>
  <si>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</si>
  <si>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</si>
  <si>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</si>
  <si>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</si>
  <si>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</si>
  <si>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</si>
  <si>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</si>
  <si>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</si>
  <si>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</si>
  <si>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</si>
  <si>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</si>
  <si>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</si>
  <si>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</si>
  <si>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</si>
  <si>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</si>
  <si>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</si>
  <si>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</si>
  <si>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</si>
  <si>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</si>
  <si>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</si>
  <si>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</si>
  <si>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</si>
  <si>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</si>
  <si>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</si>
  <si>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</si>
  <si>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</si>
  <si>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</si>
  <si>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</si>
  <si>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</si>
  <si>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</si>
  <si>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</si>
  <si>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</si>
  <si>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</si>
  <si>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</si>
  <si>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</si>
  <si>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</si>
  <si>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</si>
  <si>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</si>
  <si>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</si>
  <si>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</si>
  <si>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</si>
  <si>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</si>
  <si>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</si>
  <si>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</si>
  <si>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</si>
  <si>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</si>
  <si>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</si>
  <si>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</si>
  <si>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</si>
  <si>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</si>
  <si>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</si>
  <si>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</si>
  <si>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</si>
  <si>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</si>
  <si>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</si>
  <si>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</si>
  <si>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</si>
  <si>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</si>
  <si>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</si>
  <si>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</si>
  <si>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</si>
  <si>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</si>
  <si>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</si>
  <si>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</si>
  <si>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</si>
  <si>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</si>
  <si>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</si>
  <si>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</si>
  <si>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</si>
  <si>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</si>
  <si>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</si>
  <si>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</si>
  <si>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</si>
  <si>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</si>
  <si>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</si>
  <si>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</si>
  <si>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</si>
  <si>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</si>
  <si>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</si>
  <si>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</si>
  <si>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</si>
  <si>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</si>
  <si>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</si>
  <si>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</si>
  <si>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</si>
  <si>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</si>
  <si>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</si>
  <si>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</si>
  <si>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</si>
  <si>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</si>
  <si>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</si>
  <si>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</si>
  <si>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</si>
  <si>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</si>
  <si>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</si>
  <si>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</si>
  <si>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</si>
  <si>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</si>
  <si>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</si>
  <si>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</si>
  <si>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</si>
  <si>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</si>
  <si>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</si>
  <si>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</si>
  <si>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</si>
  <si>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</si>
  <si>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</si>
  <si>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</si>
  <si>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</si>
  <si>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</si>
  <si>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</si>
  <si>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</si>
  <si>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</si>
  <si>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</si>
  <si>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</si>
  <si>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</si>
  <si>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</si>
  <si>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</si>
  <si>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</si>
  <si>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</si>
  <si>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</si>
  <si>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</si>
  <si>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</si>
  <si>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</si>
  <si>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</si>
  <si>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</si>
  <si>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</si>
  <si>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</si>
  <si>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</si>
  <si>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</si>
  <si>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</si>
  <si>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</si>
  <si>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</si>
  <si>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</si>
  <si>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</si>
  <si>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</si>
  <si>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</si>
  <si>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</si>
  <si>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</si>
  <si>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</si>
  <si>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</si>
  <si>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</si>
  <si>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</si>
  <si>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</si>
  <si>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</si>
  <si>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</si>
  <si>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</si>
  <si>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</si>
  <si>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</si>
  <si>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</si>
  <si>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</si>
  <si>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</si>
  <si>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</si>
  <si>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</si>
  <si>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</si>
  <si>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</si>
  <si>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</si>
  <si>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</si>
  <si>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</si>
  <si>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</si>
  <si>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</si>
  <si>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</si>
  <si>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</si>
  <si>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</si>
  <si>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</si>
  <si>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</si>
  <si>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</si>
  <si>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</si>
  <si>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</si>
  <si>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</si>
  <si>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</si>
  <si>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</si>
  <si>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</si>
  <si>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</si>
  <si>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</si>
  <si>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</si>
  <si>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</si>
  <si>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</si>
  <si>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</si>
  <si>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</si>
  <si>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</si>
  <si>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</si>
  <si>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</si>
  <si>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</si>
  <si>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</si>
  <si>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</si>
  <si>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</si>
  <si>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</si>
  <si>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</si>
  <si>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</si>
  <si>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</si>
  <si>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</si>
  <si>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</si>
  <si>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</si>
  <si>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</si>
  <si>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</si>
  <si>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</si>
  <si>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</si>
  <si>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</si>
  <si>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</si>
  <si>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</si>
  <si>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</si>
  <si>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</si>
  <si>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</si>
  <si>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</si>
  <si>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</si>
  <si>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</si>
  <si>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</si>
  <si>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</si>
  <si>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</si>
  <si>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</si>
  <si>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</si>
  <si>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</si>
  <si>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</si>
  <si>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</si>
  <si>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</si>
  <si>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</si>
  <si>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</si>
  <si>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</si>
  <si>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</si>
  <si>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</si>
  <si>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</si>
  <si>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</si>
  <si>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</si>
  <si>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</si>
  <si>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</si>
  <si>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</si>
  <si>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</si>
  <si>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</si>
  <si>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</si>
  <si>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</si>
  <si>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</si>
  <si>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</si>
  <si>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</si>
  <si>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</si>
  <si>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</si>
  <si>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</si>
  <si>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</si>
  <si>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</si>
  <si>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</si>
  <si>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</si>
  <si>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</si>
  <si>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</si>
  <si>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</si>
  <si>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</si>
  <si>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</si>
  <si>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</si>
  <si>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</si>
  <si>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</si>
  <si>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</si>
  <si>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</si>
  <si>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</si>
  <si>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</si>
  <si>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</si>
  <si>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</si>
  <si>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</si>
  <si>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</si>
  <si>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</si>
  <si>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</si>
  <si>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</si>
  <si>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</si>
  <si>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</si>
  <si>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</si>
  <si>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</si>
  <si>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</si>
  <si>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</si>
  <si>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</si>
  <si>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</si>
  <si>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</si>
  <si>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</si>
  <si>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</si>
  <si>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</si>
  <si>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</si>
  <si>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</si>
  <si>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</si>
  <si>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</si>
  <si>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</si>
  <si>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</si>
  <si>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</si>
  <si>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</si>
  <si>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</si>
  <si>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</si>
  <si>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</si>
  <si>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</si>
  <si>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</si>
  <si>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</si>
  <si>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</si>
  <si>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</si>
  <si>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</si>
  <si>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</si>
  <si>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</si>
  <si>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</si>
  <si>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</si>
  <si>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</si>
  <si>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</si>
  <si>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</si>
  <si>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</si>
  <si>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</si>
  <si>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</si>
  <si>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</si>
  <si>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</si>
  <si>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</si>
  <si>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</si>
  <si>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</si>
  <si>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</si>
  <si>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</si>
  <si>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</si>
  <si>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</si>
  <si>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</si>
  <si>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</si>
  <si>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</si>
  <si>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</si>
  <si>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</si>
  <si>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</si>
  <si>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</si>
  <si>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</si>
  <si>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</si>
  <si>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</si>
  <si>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</si>
  <si>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</si>
  <si>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</si>
  <si>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</si>
  <si>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</si>
  <si>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</si>
  <si>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</si>
  <si>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</si>
  <si>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</si>
  <si>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</si>
  <si>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</si>
  <si>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</si>
  <si>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</si>
  <si>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</si>
  <si>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</si>
  <si>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</si>
  <si>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</si>
  <si>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</si>
  <si>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</si>
  <si>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</si>
  <si>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</si>
  <si>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</si>
  <si>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</si>
  <si>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</si>
  <si>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</si>
  <si>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</si>
  <si>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</si>
  <si>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</si>
  <si>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</si>
  <si>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</si>
  <si>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</si>
  <si>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</si>
  <si>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</si>
  <si>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</si>
  <si>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</si>
  <si>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</si>
  <si>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</si>
  <si>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</si>
  <si>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</si>
  <si>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</si>
  <si>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</si>
  <si>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</si>
  <si>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</si>
  <si>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</si>
  <si>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</si>
  <si>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</si>
  <si>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</si>
  <si>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</si>
  <si>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</si>
  <si>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</si>
  <si>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</si>
  <si>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</si>
  <si>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</si>
  <si>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</si>
  <si>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</si>
  <si>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</si>
  <si>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</si>
  <si>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</si>
  <si>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</si>
  <si>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</si>
  <si>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</si>
  <si>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</si>
  <si>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</si>
  <si>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</si>
  <si>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</si>
  <si>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</si>
  <si>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</si>
  <si>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</si>
  <si>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</si>
  <si>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</si>
  <si>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</si>
  <si>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</si>
  <si>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</si>
  <si>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</si>
  <si>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</si>
  <si>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</si>
  <si>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</si>
  <si>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</si>
  <si>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</si>
  <si>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</si>
  <si>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</si>
  <si>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</si>
  <si>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</si>
  <si>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</si>
  <si>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</si>
  <si>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</si>
  <si>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</si>
  <si>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</si>
  <si>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</si>
  <si>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</si>
  <si>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</si>
  <si>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</si>
  <si>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</si>
  <si>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</si>
  <si>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</si>
  <si>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</si>
  <si>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</si>
  <si>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</si>
  <si>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</si>
  <si>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</si>
  <si>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</si>
  <si>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</si>
  <si>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</si>
  <si>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</si>
  <si>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</si>
  <si>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</si>
  <si>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</si>
  <si>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</si>
  <si>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</si>
  <si>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</si>
  <si>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</si>
  <si>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</si>
  <si>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</si>
  <si>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</si>
  <si>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</si>
  <si>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</si>
  <si>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</si>
  <si>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</si>
  <si>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</si>
  <si>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</si>
  <si>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</si>
  <si>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</si>
  <si>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</si>
  <si>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</si>
  <si>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</si>
  <si>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</si>
  <si>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</si>
  <si>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</si>
  <si>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</si>
  <si>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</si>
  <si>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</si>
  <si>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</si>
  <si>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</si>
  <si>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</si>
  <si>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</si>
  <si>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</si>
  <si>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</si>
  <si>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</si>
  <si>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</si>
  <si>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</si>
  <si>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</si>
  <si>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</si>
  <si>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</si>
  <si>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</si>
  <si>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</si>
  <si>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</si>
  <si>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</si>
  <si>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</si>
  <si>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</si>
  <si>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</si>
  <si>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</si>
  <si>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</si>
  <si>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</si>
  <si>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</si>
  <si>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</si>
  <si>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</si>
  <si>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</si>
  <si>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</si>
  <si>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</si>
  <si>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</si>
  <si>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</si>
  <si>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</si>
  <si>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</si>
  <si>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</si>
  <si>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</si>
  <si>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</si>
  <si>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</si>
  <si>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</si>
  <si>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</si>
  <si>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</si>
  <si>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</si>
  <si>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</si>
  <si>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</si>
  <si>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</si>
  <si>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</si>
  <si>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</si>
  <si>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</si>
  <si>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</si>
  <si>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</si>
  <si>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</si>
  <si>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</si>
  <si>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</si>
  <si>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</si>
  <si>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</si>
  <si>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</si>
  <si>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</si>
  <si>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</si>
  <si>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</si>
  <si>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</si>
  <si>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</si>
  <si>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</si>
  <si>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</si>
  <si>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</si>
  <si>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</si>
  <si>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</si>
  <si>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</si>
  <si>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</si>
  <si>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</si>
  <si>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</si>
  <si>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</si>
  <si>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</si>
  <si>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</si>
  <si>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</si>
  <si>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</si>
  <si>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</si>
  <si>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</si>
  <si>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</si>
  <si>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</si>
  <si>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</si>
  <si>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</si>
  <si>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</si>
  <si>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</si>
  <si>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</si>
  <si>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</si>
  <si>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</si>
  <si>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</si>
  <si>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</si>
  <si>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</si>
  <si>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</si>
  <si>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</si>
  <si>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</si>
  <si>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</si>
  <si>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</si>
  <si>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</si>
  <si>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</si>
  <si>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</si>
  <si>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</si>
  <si>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</si>
  <si>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</si>
  <si>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</si>
  <si>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</si>
  <si>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</si>
  <si>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</si>
  <si>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</si>
  <si>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</si>
  <si>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</si>
  <si>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</si>
  <si>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</si>
  <si>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</si>
  <si>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</si>
  <si>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</si>
  <si>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</si>
  <si>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</si>
  <si>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</si>
  <si>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</si>
  <si>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</si>
  <si>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</si>
  <si>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</si>
  <si>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</si>
  <si>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</si>
  <si>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</si>
  <si>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</si>
  <si>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</si>
  <si>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</si>
  <si>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</si>
  <si>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</si>
  <si>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</si>
  <si>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</si>
  <si>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</si>
  <si>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</si>
  <si>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</si>
  <si>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</si>
  <si>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</si>
  <si>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</si>
  <si>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</si>
  <si>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</si>
  <si>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</si>
  <si>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</si>
  <si>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</si>
  <si>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</si>
  <si>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</si>
  <si>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</si>
  <si>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</si>
  <si>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</si>
  <si>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</si>
  <si>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</si>
  <si>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</si>
  <si>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</si>
  <si>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</si>
  <si>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</si>
  <si>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</si>
  <si>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</si>
  <si>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</si>
  <si>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</si>
  <si>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</si>
  <si>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</si>
  <si>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</si>
  <si>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</si>
  <si>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</si>
  <si>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</si>
  <si>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</si>
  <si>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</si>
  <si>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</si>
  <si>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</si>
  <si>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</si>
  <si>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</si>
  <si>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</si>
  <si>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</si>
  <si>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</si>
  <si>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</si>
  <si>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</si>
  <si>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</si>
  <si>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</si>
  <si>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</si>
  <si>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</si>
  <si>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</si>
  <si>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</si>
  <si>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</si>
  <si>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</si>
  <si>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</si>
  <si>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</si>
  <si>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</si>
  <si>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</si>
  <si>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</si>
  <si>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</si>
  <si>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</si>
  <si>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</si>
  <si>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</si>
  <si>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</si>
  <si>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</si>
  <si>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</si>
  <si>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</si>
  <si>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</si>
  <si>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</si>
  <si>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</si>
  <si>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</si>
  <si>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</si>
  <si>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</si>
  <si>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</si>
  <si>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</si>
  <si>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</si>
  <si>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</si>
  <si>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</si>
  <si>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</si>
  <si>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</si>
  <si>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</si>
  <si>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</si>
  <si>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</si>
  <si>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</si>
  <si>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</si>
  <si>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</si>
  <si>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</si>
  <si>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</si>
  <si>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</si>
  <si>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</si>
  <si>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</si>
  <si>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</si>
  <si>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</si>
  <si>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</si>
  <si>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</si>
  <si>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</si>
  <si>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</si>
  <si>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</si>
  <si>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</si>
  <si>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</si>
  <si>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</si>
  <si>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</si>
  <si>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</si>
  <si>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</si>
  <si>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</si>
  <si>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</si>
  <si>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</si>
  <si>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</si>
  <si>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</si>
  <si>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</si>
  <si>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</si>
  <si>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</si>
  <si>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</si>
  <si>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</si>
  <si>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</si>
  <si>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</si>
  <si>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</si>
  <si>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</si>
  <si>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</si>
  <si>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</si>
  <si>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</si>
  <si>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</si>
  <si>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</si>
  <si>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</si>
  <si>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</si>
  <si>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</si>
  <si>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</si>
  <si>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</si>
  <si>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</si>
  <si>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</si>
  <si>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</si>
  <si>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</si>
  <si>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</si>
  <si>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</si>
  <si>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</si>
  <si>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</si>
  <si>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</si>
  <si>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</si>
  <si>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</si>
  <si>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</si>
  <si>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</si>
  <si>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</si>
  <si>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</si>
  <si>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</si>
  <si>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</si>
  <si>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</si>
  <si>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</si>
  <si>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</si>
  <si>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</si>
  <si>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</si>
  <si>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</si>
  <si>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</si>
  <si>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</si>
  <si>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</si>
  <si>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</si>
  <si>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</si>
  <si>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</si>
  <si>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</si>
  <si>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</si>
  <si>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</si>
  <si>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</si>
  <si>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</si>
  <si>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</si>
  <si>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</si>
  <si>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</si>
  <si>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</si>
  <si>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</si>
  <si>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</si>
  <si>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</si>
  <si>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</si>
  <si>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</si>
  <si>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</si>
  <si>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</si>
  <si>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</si>
  <si>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</si>
  <si>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</si>
  <si>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</si>
  <si>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</si>
  <si>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</si>
  <si>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</si>
  <si>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</si>
  <si>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</si>
  <si>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</si>
  <si>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</si>
  <si>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</si>
  <si>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</si>
  <si>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</si>
  <si>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</si>
  <si>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</si>
  <si>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</si>
  <si>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</si>
  <si>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</si>
  <si>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</si>
  <si>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</si>
  <si>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</si>
  <si>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</si>
  <si>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</si>
  <si>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</si>
  <si>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</si>
  <si>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</si>
  <si>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</si>
  <si>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</si>
  <si>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</si>
  <si>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</si>
  <si>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</si>
  <si>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</si>
  <si>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</si>
  <si>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</si>
  <si>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</si>
  <si>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</si>
  <si>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</si>
  <si>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</si>
  <si>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</si>
  <si>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</si>
  <si>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</si>
  <si>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</si>
  <si>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</si>
  <si>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</si>
  <si>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</si>
  <si>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</si>
  <si>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</si>
  <si>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</si>
  <si>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</si>
  <si>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</si>
  <si>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</si>
  <si>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</si>
  <si>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</si>
  <si>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</si>
  <si>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</si>
  <si>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</si>
  <si>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</si>
  <si>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</si>
  <si>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</si>
  <si>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</si>
  <si>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</si>
  <si>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</si>
  <si>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</si>
  <si>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</si>
  <si>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</si>
  <si>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</si>
  <si>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</si>
  <si>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</si>
  <si>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</si>
  <si>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</si>
  <si>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</si>
  <si>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</si>
  <si>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</si>
  <si>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</si>
  <si>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</si>
  <si>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</si>
  <si>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</si>
  <si>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</si>
  <si>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</si>
  <si>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</si>
  <si>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</si>
  <si>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</si>
  <si>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</si>
  <si>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</si>
  <si>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</si>
  <si>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</si>
  <si>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</si>
  <si>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</si>
  <si>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</si>
  <si>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</si>
  <si>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</si>
  <si>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</si>
  <si>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</si>
  <si>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</si>
  <si>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</si>
  <si>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</si>
  <si>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</si>
  <si>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</si>
  <si>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</si>
  <si>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</si>
  <si>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</si>
  <si>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</si>
  <si>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</si>
  <si>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</si>
  <si>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</si>
  <si>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</si>
  <si>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</si>
  <si>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</si>
  <si>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</si>
  <si>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</si>
  <si>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</si>
  <si>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</si>
  <si>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</si>
  <si>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</si>
  <si>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</si>
  <si>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</si>
  <si>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</si>
  <si>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</si>
  <si>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</si>
  <si>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</si>
  <si>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</si>
  <si>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</si>
  <si>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</si>
  <si>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</si>
  <si>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</si>
  <si>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</si>
  <si>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</si>
  <si>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</si>
  <si>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</si>
  <si>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</si>
  <si>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</si>
  <si>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</si>
  <si>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</si>
  <si>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</si>
  <si>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</si>
  <si>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</si>
  <si>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</si>
  <si>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</si>
  <si>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</si>
  <si>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</si>
  <si>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</si>
  <si>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</si>
  <si>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</si>
  <si>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</si>
  <si>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</si>
  <si>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</si>
  <si>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</si>
  <si>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</si>
  <si>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</si>
  <si>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</si>
  <si>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</si>
  <si>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</si>
  <si>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</si>
  <si>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</si>
  <si>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</si>
  <si>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</si>
  <si>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</si>
  <si>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</si>
  <si>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</si>
  <si>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</si>
  <si>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</si>
  <si>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</si>
  <si>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</si>
  <si>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</si>
  <si>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</si>
  <si>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</si>
  <si>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</si>
  <si>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</si>
  <si>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</si>
  <si>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</si>
  <si>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</si>
  <si>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</si>
  <si>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</si>
  <si>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</si>
  <si>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</si>
  <si>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</si>
  <si>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</si>
  <si>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</si>
  <si>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</si>
  <si>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</si>
  <si>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</si>
  <si>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</si>
  <si>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</si>
  <si>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</si>
  <si>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</si>
  <si>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</si>
  <si>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</si>
  <si>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</si>
  <si>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</si>
  <si>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</si>
  <si>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</si>
  <si>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</si>
  <si>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</si>
  <si>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</si>
  <si>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</si>
  <si>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</si>
  <si>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</si>
  <si>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</si>
  <si>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</si>
  <si>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</si>
  <si>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</si>
  <si>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</si>
  <si>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</si>
  <si>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</si>
  <si>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</si>
  <si>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</si>
  <si>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</si>
  <si>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</si>
  <si>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</si>
  <si>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</si>
  <si>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</si>
  <si>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</si>
  <si>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</si>
  <si>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</si>
  <si>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</si>
  <si>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</si>
  <si>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</si>
  <si>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</si>
  <si>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</si>
  <si>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</si>
  <si>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</si>
  <si>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</si>
  <si>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</si>
  <si>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</si>
  <si>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</si>
  <si>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</si>
  <si>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</si>
  <si>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</si>
  <si>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</si>
  <si>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</si>
  <si>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</si>
  <si>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</si>
  <si>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</si>
  <si>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</si>
  <si>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</si>
  <si>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</si>
  <si>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</si>
  <si>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</si>
  <si>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</si>
  <si>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</si>
  <si>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</si>
  <si>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</si>
  <si>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</si>
  <si>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</si>
  <si>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</si>
  <si>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</si>
  <si>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</si>
  <si>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</si>
  <si>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</si>
  <si>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</si>
  <si>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</si>
  <si>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</si>
  <si>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</si>
  <si>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</si>
  <si>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</si>
  <si>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</si>
  <si>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</si>
  <si>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</si>
  <si>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</si>
  <si>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</si>
  <si>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</si>
  <si>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</si>
  <si>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</si>
  <si>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</si>
  <si>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</si>
  <si>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</si>
  <si>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</si>
  <si>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</si>
  <si>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</si>
  <si>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</si>
  <si>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</si>
  <si>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</si>
  <si>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</si>
  <si>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</si>
  <si>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</si>
  <si>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</si>
  <si>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</si>
  <si>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</si>
  <si>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</si>
  <si>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</si>
  <si>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</si>
  <si>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</si>
  <si>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</si>
  <si>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</si>
  <si>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</si>
  <si>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</si>
  <si>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</si>
  <si>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</si>
  <si>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</si>
  <si>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</si>
  <si>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</si>
  <si>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</si>
  <si>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</si>
  <si>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</si>
  <si>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</si>
  <si>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</si>
  <si>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</si>
  <si>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</si>
  <si>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</si>
  <si>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</si>
  <si>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</si>
  <si>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</si>
  <si>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</si>
  <si>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</si>
  <si>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</si>
  <si>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</si>
  <si>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</si>
  <si>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</si>
  <si>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</si>
  <si>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</si>
  <si>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</si>
  <si>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</si>
  <si>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</si>
  <si>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</si>
  <si>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</si>
  <si>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</si>
  <si>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</si>
  <si>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</si>
  <si>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</si>
  <si>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</si>
  <si>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</si>
  <si>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</si>
  <si>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</si>
  <si>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</si>
  <si>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</si>
  <si>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</si>
  <si>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</si>
  <si>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</si>
  <si>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</si>
  <si>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</si>
  <si>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</si>
  <si>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</si>
  <si>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</si>
  <si>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</si>
  <si>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</si>
  <si>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</si>
  <si>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</si>
  <si>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</si>
  <si>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</si>
  <si>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</si>
  <si>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</si>
  <si>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</si>
  <si>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</si>
  <si>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</si>
  <si>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</si>
  <si>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</si>
  <si>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</si>
  <si>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</si>
  <si>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</si>
  <si>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</si>
  <si>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</si>
  <si>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</si>
  <si>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</si>
  <si>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</si>
  <si>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</si>
  <si>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</si>
  <si>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</si>
  <si>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</si>
  <si>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</si>
  <si>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</si>
  <si>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</si>
  <si>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</si>
  <si>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</si>
  <si>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</si>
  <si>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</si>
  <si>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</si>
  <si>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</si>
  <si>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</si>
  <si>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</si>
  <si>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</si>
  <si>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</si>
  <si>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</si>
  <si>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</si>
  <si>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</si>
  <si>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</si>
  <si>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</si>
  <si>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</si>
  <si>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</si>
  <si>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</si>
  <si>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</si>
  <si>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</si>
  <si>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</si>
  <si>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</si>
  <si>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</si>
  <si>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</si>
  <si>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</si>
  <si>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</si>
  <si>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</si>
  <si>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</si>
  <si>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</si>
  <si>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</si>
  <si>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</si>
  <si>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</si>
  <si>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</si>
  <si>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</si>
  <si>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</si>
  <si>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</si>
  <si>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</si>
  <si>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</si>
  <si>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</si>
  <si>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</si>
  <si>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</si>
  <si>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</si>
  <si>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</si>
  <si>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</si>
  <si>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</si>
  <si>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</si>
  <si>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</si>
  <si>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</si>
  <si>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</si>
  <si>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</si>
  <si>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</si>
  <si>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</si>
  <si>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</si>
  <si>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</si>
  <si>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</si>
  <si>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</si>
  <si>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</si>
  <si>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</si>
  <si>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</si>
  <si>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</si>
  <si>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</si>
  <si>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</si>
  <si>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</si>
  <si>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</si>
  <si>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</si>
  <si>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</si>
  <si>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</si>
  <si>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</si>
  <si>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</si>
  <si>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</si>
  <si>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</si>
  <si>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</si>
  <si>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</si>
  <si>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</si>
  <si>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</si>
  <si>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</si>
  <si>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</si>
  <si>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</si>
  <si>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</si>
  <si>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</si>
  <si>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</si>
  <si>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</si>
  <si>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</si>
  <si>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</si>
  <si>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</si>
  <si>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</si>
  <si>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</si>
  <si>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</si>
  <si>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</si>
  <si>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</si>
  <si>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</si>
  <si>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</si>
  <si>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</si>
  <si>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</si>
  <si>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</si>
  <si>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</si>
  <si>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</si>
  <si>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</si>
  <si>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</si>
  <si>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</si>
  <si>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</si>
  <si>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</si>
  <si>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</si>
  <si>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</si>
  <si>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</si>
  <si>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</si>
  <si>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</si>
  <si>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</si>
  <si>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</si>
  <si>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</si>
  <si>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</si>
  <si>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</si>
  <si>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</si>
  <si>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</si>
  <si>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</si>
  <si>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</si>
  <si>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</si>
  <si>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</si>
  <si>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</si>
  <si>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</si>
  <si>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</si>
  <si>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</si>
  <si>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</si>
  <si>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</si>
  <si>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</si>
  <si>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</si>
  <si>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</si>
  <si>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</si>
  <si>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</si>
  <si>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</si>
  <si>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</si>
  <si>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</si>
  <si>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</si>
  <si>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</si>
  <si>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</si>
  <si>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</si>
  <si>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</si>
  <si>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</si>
  <si>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</si>
  <si>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</si>
  <si>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</si>
  <si>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</si>
  <si>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</si>
  <si>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</si>
  <si>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</si>
  <si>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</si>
  <si>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</si>
  <si>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</si>
  <si>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</si>
  <si>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</si>
  <si>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</si>
  <si>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</si>
  <si>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</si>
  <si>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</si>
  <si>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</si>
  <si>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</si>
  <si>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</si>
  <si>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</si>
  <si>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</si>
  <si>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</si>
  <si>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</si>
  <si>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</si>
  <si>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</si>
  <si>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</si>
  <si>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</si>
  <si>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</si>
  <si>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</si>
  <si>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</si>
  <si>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</si>
  <si>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</si>
  <si>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</si>
  <si>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</si>
  <si>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</si>
  <si>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</si>
  <si>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</si>
  <si>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</si>
  <si>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</si>
  <si>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</si>
  <si>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</si>
  <si>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</si>
  <si>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</si>
  <si>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</si>
  <si>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</si>
  <si>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</si>
  <si>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</si>
  <si>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</si>
  <si>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</si>
  <si>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</si>
  <si>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</si>
  <si>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</si>
  <si>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</si>
  <si>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</si>
  <si>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</si>
  <si>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</si>
  <si>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</si>
  <si>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</si>
  <si>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</si>
  <si>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</si>
  <si>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</si>
  <si>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</si>
  <si>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</si>
  <si>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</si>
  <si>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</si>
  <si>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</si>
  <si>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</si>
  <si>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</si>
  <si>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</si>
  <si>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</si>
  <si>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</si>
  <si>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</si>
  <si>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</si>
  <si>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</si>
  <si>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</si>
  <si>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</si>
  <si>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</si>
  <si>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</si>
  <si>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</si>
  <si>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</si>
  <si>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</si>
  <si>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</si>
  <si>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</si>
  <si>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</si>
  <si>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</si>
  <si>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</si>
  <si>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</si>
  <si>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</si>
  <si>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</si>
  <si>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</si>
  <si>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</si>
  <si>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</si>
  <si>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</si>
  <si>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</si>
  <si>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</si>
  <si>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</si>
  <si>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</si>
  <si>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</si>
  <si>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</si>
  <si>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</si>
  <si>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</si>
  <si>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</si>
  <si>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</si>
  <si>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</si>
  <si>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</si>
  <si>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</si>
  <si>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</si>
  <si>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</si>
  <si>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</si>
  <si>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</si>
  <si>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</si>
  <si>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</si>
  <si>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</si>
  <si>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</si>
  <si>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</si>
  <si>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</si>
  <si>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</si>
  <si>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</si>
  <si>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</si>
  <si>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</si>
  <si>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</si>
  <si>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</si>
  <si>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</si>
  <si>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</si>
  <si>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</si>
  <si>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</si>
  <si>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</si>
  <si>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</si>
  <si>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</si>
  <si>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</si>
  <si>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</si>
  <si>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</si>
  <si>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</si>
  <si>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</si>
  <si>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</si>
  <si>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</si>
  <si>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</si>
  <si>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</si>
  <si>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</si>
  <si>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</si>
  <si>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</si>
  <si>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</si>
  <si>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</si>
  <si>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</si>
  <si>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</si>
  <si>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</si>
  <si>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</si>
  <si>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</si>
  <si>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</si>
  <si>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</si>
  <si>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</si>
  <si>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</si>
  <si>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</si>
  <si>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</si>
  <si>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</si>
  <si>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</si>
  <si>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</si>
  <si>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</si>
  <si>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</si>
  <si>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</si>
  <si>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</si>
  <si>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</si>
  <si>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</si>
  <si>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</si>
  <si>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</si>
  <si>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</si>
  <si>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</si>
  <si>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</si>
  <si>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</si>
  <si>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</si>
  <si>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</si>
  <si>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</si>
  <si>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</si>
  <si>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</si>
  <si>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</si>
  <si>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</si>
  <si>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</si>
  <si>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</si>
  <si>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</si>
  <si>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</si>
  <si>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</si>
  <si>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</si>
  <si>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</si>
  <si>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</si>
  <si>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</si>
  <si>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</si>
  <si>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</si>
  <si>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</si>
  <si>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</si>
  <si>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</si>
  <si>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</si>
  <si>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</si>
  <si>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</si>
  <si>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</si>
  <si>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</si>
  <si>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</si>
  <si>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</si>
  <si>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</si>
  <si>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</si>
  <si>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</si>
  <si>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</si>
  <si>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</si>
  <si>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</si>
  <si>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</si>
  <si>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</si>
  <si>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</si>
  <si>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</si>
  <si>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</si>
  <si>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</si>
  <si>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</si>
  <si>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</si>
  <si>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</si>
  <si>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</si>
  <si>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</si>
  <si>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</si>
  <si>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</si>
  <si>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</si>
  <si>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</si>
  <si>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</si>
  <si>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</si>
  <si>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</si>
  <si>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</si>
  <si>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</si>
  <si>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</si>
  <si>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</si>
  <si>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</si>
  <si>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</si>
  <si>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</si>
  <si>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</si>
  <si>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</si>
  <si>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</si>
  <si>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</si>
  <si>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</si>
  <si>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</si>
  <si>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</si>
  <si>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</si>
  <si>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</si>
  <si>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</si>
  <si>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</si>
  <si>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</si>
  <si>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</si>
  <si>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</si>
  <si>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</si>
  <si>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</si>
  <si>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</si>
  <si>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</si>
  <si>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</si>
  <si>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</si>
  <si>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</si>
  <si>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</si>
  <si>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</si>
  <si>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</si>
  <si>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</si>
  <si>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</si>
  <si>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</si>
  <si>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</si>
  <si>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</si>
  <si>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</si>
  <si>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</si>
  <si>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</si>
  <si>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</si>
  <si>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</si>
  <si>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</si>
  <si>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</si>
  <si>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</si>
  <si>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</si>
  <si>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</si>
  <si>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</si>
  <si>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</si>
  <si>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</si>
  <si>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</si>
  <si>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</si>
  <si>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</si>
  <si>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</si>
  <si>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</si>
  <si>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</si>
  <si>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</si>
  <si>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</si>
  <si>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</si>
  <si>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</si>
  <si>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</si>
  <si>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</si>
  <si>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</si>
  <si>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</si>
  <si>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</si>
  <si>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</si>
  <si>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</si>
  <si>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</si>
  <si>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</si>
  <si>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</si>
  <si>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</si>
  <si>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</si>
  <si>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</si>
  <si>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</si>
  <si>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</si>
  <si>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</si>
  <si>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</si>
  <si>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</si>
  <si>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</si>
  <si>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</si>
  <si>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</si>
  <si>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</si>
  <si>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</si>
  <si>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</si>
  <si>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</si>
  <si>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</si>
  <si>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</si>
  <si>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</si>
  <si>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</si>
  <si>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</si>
  <si>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</si>
  <si>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</si>
  <si>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</si>
  <si>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</si>
  <si>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</si>
  <si>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</si>
  <si>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</si>
  <si>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</si>
  <si>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</si>
  <si>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</si>
  <si>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</si>
  <si>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</si>
  <si>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</si>
  <si>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</si>
  <si>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</si>
  <si>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</si>
  <si>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</si>
  <si>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</si>
  <si>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</si>
  <si>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</si>
  <si>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</si>
  <si>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</si>
  <si>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</si>
  <si>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</si>
  <si>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</si>
  <si>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</si>
  <si>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</si>
  <si>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</si>
  <si>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</si>
  <si>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</si>
  <si>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</si>
  <si>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</si>
  <si>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</si>
  <si>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</si>
  <si>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</si>
  <si>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</si>
  <si>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</si>
  <si>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</si>
  <si>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</si>
  <si>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</si>
  <si>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</si>
  <si>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</si>
  <si>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</si>
  <si>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</si>
  <si>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</si>
  <si>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</si>
  <si>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</si>
  <si>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</si>
  <si>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</si>
  <si>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</si>
  <si>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</si>
  <si>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</si>
  <si>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</si>
  <si>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</si>
  <si>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</si>
  <si>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</si>
  <si>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</si>
  <si>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</si>
  <si>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</si>
  <si>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</si>
  <si>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</si>
  <si>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</si>
  <si>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</si>
  <si>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</si>
  <si>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</si>
  <si>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</si>
  <si>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</si>
  <si>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</si>
  <si>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</si>
  <si>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</si>
  <si>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</si>
  <si>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</si>
  <si>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</si>
  <si>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</si>
  <si>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</si>
  <si>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</si>
  <si>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</si>
  <si>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</si>
  <si>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</si>
  <si>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</si>
  <si>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</si>
  <si>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</si>
  <si>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</si>
  <si>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</si>
  <si>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</si>
  <si>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</si>
  <si>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</si>
  <si>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</si>
  <si>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</si>
  <si>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</si>
  <si>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</si>
  <si>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</si>
  <si>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</si>
  <si>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</si>
  <si>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</si>
  <si>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</si>
  <si>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</si>
  <si>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</si>
  <si>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</si>
  <si>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</si>
  <si>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</si>
  <si>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</si>
  <si>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</si>
  <si>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</si>
  <si>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</si>
  <si>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</si>
  <si>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</si>
  <si>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</si>
  <si>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</si>
  <si>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</si>
  <si>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</si>
  <si>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</si>
  <si>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</si>
  <si>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</si>
  <si>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</si>
  <si>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</si>
  <si>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</si>
  <si>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</si>
  <si>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</si>
  <si>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</si>
  <si>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</si>
  <si>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</si>
  <si>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</si>
  <si>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</si>
  <si>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</si>
  <si>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</si>
  <si>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</si>
  <si>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</si>
  <si>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</si>
  <si>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</si>
  <si>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</si>
  <si>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</si>
  <si>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</si>
  <si>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</si>
  <si>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</si>
  <si>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</si>
  <si>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</si>
  <si>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</si>
  <si>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</si>
  <si>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</si>
  <si>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</si>
  <si>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</si>
  <si>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</si>
  <si>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</si>
  <si>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</si>
  <si>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</si>
  <si>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</si>
  <si>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</si>
  <si>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</si>
  <si>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</si>
  <si>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</si>
  <si>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</si>
  <si>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</si>
  <si>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</si>
  <si>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</si>
  <si>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</si>
  <si>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</si>
  <si>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</si>
  <si>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</si>
  <si>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</si>
  <si>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</si>
  <si>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</si>
  <si>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</si>
  <si>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</si>
  <si>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</si>
  <si>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</si>
  <si>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</si>
  <si>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</si>
  <si>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</si>
  <si>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</si>
  <si>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</si>
  <si>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</si>
  <si>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</si>
  <si>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</si>
  <si>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</si>
  <si>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</si>
  <si>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</si>
  <si>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</si>
  <si>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</si>
  <si>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</si>
  <si>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</si>
  <si>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</si>
  <si>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</si>
  <si>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</si>
  <si>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</si>
  <si>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</si>
  <si>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</si>
  <si>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</si>
  <si>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</si>
  <si>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</si>
  <si>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</si>
  <si>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</si>
  <si>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</si>
  <si>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</si>
  <si>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</si>
  <si>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</si>
  <si>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</si>
  <si>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</si>
  <si>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</si>
  <si>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</si>
  <si>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</si>
  <si>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</si>
  <si>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</si>
  <si>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</si>
  <si>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</si>
  <si>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</si>
  <si>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</si>
  <si>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</si>
  <si>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</si>
  <si>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</si>
  <si>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</si>
  <si>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</si>
  <si>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</si>
  <si>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</si>
  <si>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</si>
  <si>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</si>
  <si>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</si>
  <si>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</si>
  <si>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</si>
  <si>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</si>
  <si>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</si>
  <si>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</si>
  <si>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</si>
  <si>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</si>
  <si>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</si>
  <si>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</si>
  <si>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</si>
  <si>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</si>
  <si>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</si>
  <si>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</si>
  <si>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</si>
  <si>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</si>
  <si>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</si>
  <si>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</si>
  <si>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</si>
  <si>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</si>
  <si>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</si>
  <si>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</si>
  <si>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</si>
  <si>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</si>
  <si>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</si>
  <si>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</si>
  <si>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</si>
  <si>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</si>
  <si>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</si>
  <si>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</si>
  <si>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</si>
  <si>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</si>
  <si>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</si>
  <si>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</si>
  <si>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</si>
  <si>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</si>
  <si>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</si>
  <si>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</si>
  <si>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</si>
  <si>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</si>
  <si>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</si>
  <si>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</si>
  <si>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</si>
  <si>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</si>
  <si>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</si>
  <si>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</si>
  <si>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</si>
  <si>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</si>
  <si>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</si>
  <si>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</si>
  <si>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</si>
  <si>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</si>
  <si>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</si>
  <si>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</si>
  <si>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</si>
  <si>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</si>
  <si>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</si>
  <si>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</si>
  <si>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</si>
  <si>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</si>
  <si>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</si>
  <si>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</si>
  <si>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</si>
  <si>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</si>
  <si>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</si>
  <si>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</si>
  <si>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</si>
  <si>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</si>
  <si>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</si>
  <si>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</si>
  <si>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</si>
  <si>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</si>
  <si>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</si>
  <si>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</si>
  <si>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</si>
  <si>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</si>
  <si>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</si>
  <si>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</si>
  <si>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</si>
  <si>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</si>
  <si>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</si>
  <si>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</si>
  <si>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</si>
  <si>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</si>
  <si>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</si>
  <si>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</si>
  <si>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</si>
  <si>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</si>
  <si>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</si>
  <si>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</si>
  <si>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</si>
  <si>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</si>
  <si>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</si>
  <si>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</si>
  <si>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</si>
  <si>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</si>
  <si>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</si>
  <si>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</si>
  <si>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</si>
  <si>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</si>
  <si>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</si>
  <si>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</si>
  <si>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</si>
  <si>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</si>
  <si>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</si>
  <si>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</si>
  <si>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</si>
  <si>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</si>
  <si>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</si>
  <si>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</si>
  <si>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</si>
  <si>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</si>
  <si>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</si>
  <si>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</si>
  <si>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</si>
  <si>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</si>
  <si>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</si>
  <si>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</si>
  <si>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</si>
  <si>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</si>
  <si>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</si>
  <si>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</si>
  <si>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</si>
  <si>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</si>
  <si>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</si>
  <si>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</si>
  <si>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</si>
  <si>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</si>
  <si>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</si>
  <si>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</si>
  <si>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</si>
  <si>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</si>
  <si>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</si>
  <si>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</si>
  <si>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</si>
  <si>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</si>
  <si>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</si>
  <si>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</si>
  <si>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</si>
  <si>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</si>
  <si>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</si>
  <si>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</si>
  <si>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</si>
  <si>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</si>
  <si>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</si>
  <si>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</si>
  <si>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</si>
  <si>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</si>
  <si>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</si>
  <si>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</si>
  <si>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</si>
  <si>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</si>
  <si>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</si>
  <si>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</si>
  <si>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</si>
  <si>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</si>
  <si>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</si>
  <si>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</si>
  <si>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</si>
  <si>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</si>
  <si>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</si>
  <si>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</si>
  <si>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</si>
  <si>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</si>
  <si>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</si>
  <si>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</si>
  <si>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</si>
  <si>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</si>
  <si>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</si>
  <si>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</si>
  <si>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</si>
  <si>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</si>
  <si>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</si>
  <si>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</si>
  <si>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</si>
  <si>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</si>
  <si>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</si>
  <si>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</si>
  <si>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</si>
  <si>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</si>
  <si>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</si>
  <si>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</si>
  <si>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</si>
  <si>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</si>
  <si>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</si>
  <si>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</si>
  <si>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</si>
  <si>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</si>
  <si>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</si>
  <si>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</si>
  <si>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</si>
  <si>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</si>
  <si>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</si>
  <si>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</si>
  <si>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</si>
  <si>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</si>
  <si>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</si>
  <si>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</si>
  <si>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</si>
  <si>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</si>
  <si>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</si>
  <si>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</si>
  <si>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</si>
  <si>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</si>
  <si>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</si>
  <si>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</si>
  <si>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</si>
  <si>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</si>
  <si>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</si>
  <si>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</si>
  <si>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</si>
  <si>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</si>
  <si>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</si>
  <si>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</si>
  <si>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</si>
  <si>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</si>
  <si>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</si>
  <si>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</si>
  <si>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</si>
  <si>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</si>
  <si>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</si>
  <si>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</si>
  <si>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</si>
  <si>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</si>
  <si>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</si>
  <si>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</si>
  <si>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</si>
  <si>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</si>
  <si>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</si>
  <si>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</si>
  <si>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</si>
  <si>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</si>
  <si>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</si>
  <si>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</si>
  <si>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</si>
  <si>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</si>
  <si>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</si>
  <si>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</si>
  <si>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</si>
  <si>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</si>
  <si>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</si>
  <si>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</si>
  <si>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</si>
  <si>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</si>
  <si>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</si>
  <si>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</si>
  <si>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</si>
  <si>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</si>
  <si>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</si>
  <si>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</si>
  <si>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</si>
  <si>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</si>
  <si>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</si>
  <si>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</si>
  <si>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</si>
  <si>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</si>
  <si>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</si>
  <si>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</si>
  <si>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</si>
  <si>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</si>
  <si>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</si>
  <si>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</si>
  <si>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</si>
  <si>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</si>
  <si>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</si>
  <si>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</si>
  <si>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</si>
  <si>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</si>
  <si>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</si>
  <si>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</si>
  <si>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</si>
  <si>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</si>
  <si>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</si>
  <si>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</si>
  <si>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</si>
  <si>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</si>
  <si>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</si>
  <si>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</si>
  <si>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</si>
  <si>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</si>
  <si>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</si>
  <si>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</si>
  <si>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</si>
  <si>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</si>
  <si>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</si>
  <si>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</si>
  <si>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</si>
  <si>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</si>
  <si>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</si>
  <si>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</si>
  <si>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</si>
  <si>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</si>
  <si>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</si>
  <si>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</si>
  <si>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</si>
  <si>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</si>
  <si>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</si>
  <si>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</si>
  <si>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</si>
  <si>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</si>
  <si>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</si>
  <si>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</si>
  <si>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</si>
  <si>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</si>
  <si>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</si>
  <si>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</si>
  <si>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</si>
  <si>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</si>
  <si>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</si>
  <si>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</si>
  <si>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</si>
  <si>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</si>
  <si>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</si>
  <si>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</si>
  <si>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</si>
  <si>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</si>
  <si>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</si>
  <si>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</si>
  <si>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</si>
  <si>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</si>
  <si>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</si>
  <si>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</si>
  <si>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</si>
  <si>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</si>
  <si>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</si>
  <si>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</si>
  <si>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</si>
  <si>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</si>
  <si>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</si>
  <si>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</si>
  <si>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</si>
  <si>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</si>
  <si>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</si>
  <si>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</si>
  <si>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</si>
  <si>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</si>
  <si>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</si>
  <si>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</si>
  <si>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</si>
  <si>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</si>
  <si>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</si>
  <si>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</si>
  <si>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</si>
  <si>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</si>
  <si>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</si>
  <si>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</si>
  <si>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</si>
  <si>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</si>
  <si>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</si>
  <si>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</si>
  <si>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</si>
  <si>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</si>
  <si>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</si>
  <si>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</si>
  <si>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</si>
  <si>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</si>
  <si>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</si>
  <si>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</si>
  <si>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</si>
  <si>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</si>
  <si>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</si>
  <si>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</si>
  <si>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</si>
  <si>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</si>
  <si>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</si>
  <si>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</si>
  <si>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</si>
  <si>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</si>
  <si>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</si>
  <si>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</si>
  <si>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</si>
  <si>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</si>
  <si>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</si>
  <si>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</si>
  <si>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</si>
  <si>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</si>
  <si>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</si>
  <si>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</si>
  <si>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</si>
  <si>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</si>
  <si>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</si>
  <si>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</si>
  <si>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</si>
  <si>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</si>
  <si>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</si>
  <si>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</si>
  <si>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</si>
  <si>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</si>
  <si>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</si>
  <si>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</si>
  <si>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</si>
  <si>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</si>
  <si>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</si>
  <si>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</si>
  <si>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</si>
  <si>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</si>
  <si>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</si>
  <si>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</si>
  <si>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</si>
  <si>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</si>
  <si>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</si>
  <si>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</si>
  <si>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</si>
  <si>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</si>
  <si>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</si>
  <si>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</si>
  <si>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</si>
  <si>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</si>
  <si>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</si>
  <si>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</si>
  <si>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</si>
  <si>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</si>
  <si>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</si>
  <si>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</si>
  <si>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</si>
  <si>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</si>
  <si>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</si>
  <si>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</si>
  <si>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</si>
  <si>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</si>
  <si>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</si>
  <si>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</si>
  <si>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</si>
  <si>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</si>
  <si>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</si>
  <si>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</si>
  <si>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</si>
  <si>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</si>
  <si>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</si>
  <si>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</si>
  <si>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</si>
  <si>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</si>
  <si>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</si>
  <si>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</si>
  <si>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</si>
  <si>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</si>
  <si>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</si>
  <si>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</si>
  <si>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</si>
  <si>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</si>
  <si>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</si>
  <si>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</si>
  <si>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</si>
  <si>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</si>
  <si>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</si>
  <si>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</si>
  <si>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</si>
  <si>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</si>
  <si>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</si>
  <si>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</si>
  <si>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</si>
  <si>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</si>
  <si>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</si>
  <si>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</si>
  <si>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</si>
  <si>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</si>
  <si>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</si>
  <si>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</si>
  <si>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</si>
  <si>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</si>
  <si>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</si>
  <si>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</si>
  <si>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</si>
  <si>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</si>
  <si>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</si>
  <si>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</si>
  <si>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</si>
  <si>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</si>
  <si>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</si>
  <si>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</si>
  <si>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</si>
  <si>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</si>
  <si>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</si>
  <si>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</si>
  <si>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</si>
  <si>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</si>
  <si>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</si>
  <si>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</si>
  <si>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</si>
  <si>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</si>
  <si>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</si>
  <si>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</si>
  <si>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</si>
  <si>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</si>
  <si>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</si>
  <si>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</si>
  <si>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</si>
  <si>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</si>
  <si>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</si>
  <si>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</si>
  <si>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</si>
  <si>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</si>
  <si>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</si>
  <si>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</si>
  <si>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</si>
  <si>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</si>
  <si>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</si>
  <si>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</si>
  <si>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</si>
  <si>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</si>
  <si>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</si>
  <si>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</si>
  <si>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</si>
  <si>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</si>
  <si>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</si>
  <si>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</si>
  <si>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</si>
  <si>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</si>
  <si>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</si>
  <si>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</si>
  <si>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</si>
  <si>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</si>
  <si>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</si>
  <si>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</si>
  <si>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</si>
  <si>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</si>
  <si>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</si>
  <si>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</si>
  <si>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</si>
  <si>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</si>
  <si>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</si>
  <si>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</si>
  <si>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</si>
  <si>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</si>
  <si>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</si>
  <si>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</si>
  <si>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</si>
  <si>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</si>
  <si>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</si>
  <si>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</si>
  <si>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</si>
  <si>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</si>
  <si>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</si>
  <si>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</si>
  <si>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</si>
  <si>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</si>
  <si>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</si>
  <si>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</si>
  <si>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</si>
  <si>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</si>
  <si>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</si>
  <si>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</si>
  <si>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</si>
  <si>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</si>
  <si>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</si>
  <si>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</si>
  <si>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</si>
  <si>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</si>
  <si>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</si>
  <si>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</si>
  <si>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</si>
  <si>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</si>
  <si>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</si>
  <si>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</si>
  <si>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</si>
  <si>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</si>
  <si>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</si>
  <si>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</si>
  <si>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</si>
  <si>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</si>
  <si>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</si>
  <si>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</si>
  <si>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</si>
  <si>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</si>
  <si>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</si>
  <si>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</si>
  <si>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</si>
  <si>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</si>
  <si>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</si>
  <si>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</si>
  <si>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</si>
  <si>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</si>
  <si>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</si>
  <si>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</si>
  <si>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</si>
  <si>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</si>
  <si>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</si>
  <si>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</si>
  <si>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</si>
  <si>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</si>
  <si>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</si>
  <si>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</si>
  <si>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</si>
  <si>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</si>
  <si>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</si>
  <si>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</si>
  <si>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</si>
  <si>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</si>
  <si>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</si>
  <si>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</si>
  <si>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</si>
  <si>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</si>
  <si>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</si>
  <si>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</si>
  <si>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</si>
  <si>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</si>
  <si>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</si>
  <si>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</si>
  <si>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</si>
  <si>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</si>
  <si>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</si>
  <si>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</si>
  <si>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</si>
  <si>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</si>
  <si>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</si>
  <si>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</si>
  <si>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</si>
  <si>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</si>
  <si>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</si>
  <si>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</si>
  <si>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</si>
  <si>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</si>
  <si>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</si>
  <si>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</si>
  <si>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</si>
  <si>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</si>
  <si>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</si>
  <si>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</si>
  <si>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</si>
  <si>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</si>
  <si>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</si>
  <si>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</si>
  <si>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</si>
  <si>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</si>
  <si>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</si>
  <si>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</si>
  <si>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</si>
  <si>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</si>
  <si>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</si>
  <si>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</si>
  <si>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</si>
  <si>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</si>
  <si>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</si>
  <si>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</si>
  <si>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</si>
  <si>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</si>
  <si>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</si>
  <si>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</si>
  <si>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</si>
  <si>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</si>
  <si>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</si>
  <si>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</si>
  <si>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</si>
  <si>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</si>
  <si>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</si>
  <si>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</si>
  <si>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</si>
  <si>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</si>
  <si>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</si>
  <si>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</si>
  <si>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</si>
  <si>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</si>
  <si>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</si>
  <si>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</si>
  <si>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</si>
  <si>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</si>
  <si>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</si>
  <si>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</si>
  <si>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</si>
  <si>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</si>
  <si>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</si>
  <si>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</si>
  <si>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</si>
  <si>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</si>
  <si>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</si>
  <si>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</si>
  <si>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</si>
  <si>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</si>
  <si>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</si>
  <si>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</si>
  <si>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</si>
  <si>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</si>
  <si>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</si>
  <si>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</si>
  <si>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</si>
  <si>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</si>
  <si>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</si>
  <si>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</si>
  <si>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</si>
  <si>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</si>
  <si>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</si>
  <si>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</si>
  <si>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</si>
  <si>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</si>
  <si>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</si>
  <si>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</si>
  <si>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</si>
  <si>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</si>
  <si>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</si>
  <si>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</si>
  <si>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</si>
  <si>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</si>
  <si>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</si>
  <si>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</si>
  <si>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</si>
  <si>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</si>
  <si>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</si>
  <si>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</si>
  <si>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</si>
  <si>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</si>
  <si>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</si>
  <si>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</si>
  <si>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</si>
  <si>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</si>
  <si>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</si>
  <si>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</si>
  <si>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</si>
  <si>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</si>
  <si>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</si>
  <si>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</si>
  <si>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</si>
  <si>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</si>
  <si>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</si>
  <si>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</si>
  <si>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</si>
  <si>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</si>
  <si>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</si>
  <si>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</si>
  <si>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</si>
  <si>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</si>
  <si>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</si>
  <si>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</si>
  <si>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</si>
  <si>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</si>
  <si>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</si>
  <si>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</si>
  <si>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</si>
  <si>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</si>
  <si>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</si>
  <si>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</si>
  <si>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</si>
  <si>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</si>
  <si>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</si>
  <si>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</si>
  <si>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</si>
  <si>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</si>
  <si>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</si>
  <si>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</si>
  <si>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</si>
  <si>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</si>
  <si>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</si>
  <si>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</si>
  <si>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</si>
  <si>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</si>
  <si>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</si>
  <si>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</si>
  <si>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</si>
  <si>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</si>
  <si>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</si>
  <si>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</si>
  <si>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</si>
  <si>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</si>
  <si>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</si>
  <si>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</si>
  <si>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</si>
  <si>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</si>
  <si>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</si>
  <si>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</si>
  <si>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</si>
  <si>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</si>
  <si>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</si>
  <si>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</si>
  <si>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</si>
  <si>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</si>
  <si>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</si>
  <si>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</si>
  <si>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</si>
  <si>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</si>
  <si>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</si>
  <si>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</si>
  <si>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</si>
  <si>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</si>
  <si>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</si>
  <si>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</si>
  <si>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</si>
  <si>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</si>
  <si>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</si>
  <si>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</si>
  <si>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</si>
  <si>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</si>
  <si>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</si>
  <si>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</si>
  <si>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</si>
  <si>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</si>
  <si>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</si>
  <si>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</si>
  <si>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</si>
  <si>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</si>
  <si>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</si>
  <si>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</si>
  <si>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</si>
  <si>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</si>
  <si>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</si>
  <si>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</si>
  <si>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</si>
  <si>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</si>
  <si>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</si>
  <si>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</si>
  <si>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</si>
  <si>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</si>
  <si>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</si>
  <si>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</si>
  <si>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</si>
  <si>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</si>
  <si>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</si>
  <si>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</si>
  <si>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</si>
  <si>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</si>
  <si>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</si>
  <si>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</si>
  <si>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</si>
  <si>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</si>
  <si>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</si>
  <si>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</si>
  <si>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</si>
  <si>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</si>
  <si>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</si>
  <si>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</si>
  <si>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</si>
  <si>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</si>
  <si>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</si>
  <si>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</si>
  <si>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</si>
  <si>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</si>
  <si>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</si>
  <si>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</si>
  <si>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</si>
  <si>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</si>
  <si>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</si>
  <si>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</si>
  <si>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</si>
  <si>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</si>
  <si>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</si>
  <si>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</si>
  <si>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</si>
  <si>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</si>
  <si>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</si>
  <si>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</si>
  <si>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</si>
  <si>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</si>
  <si>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</si>
  <si>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</si>
  <si>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</si>
  <si>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</si>
  <si>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</si>
  <si>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</si>
  <si>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</si>
  <si>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</si>
  <si>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</si>
  <si>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</si>
  <si>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</si>
  <si>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</si>
  <si>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</si>
  <si>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</si>
  <si>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</si>
  <si>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</si>
  <si>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</si>
  <si>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</si>
  <si>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</si>
  <si>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</si>
  <si>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</si>
  <si>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</si>
  <si>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</si>
  <si>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</si>
  <si>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</si>
  <si>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</si>
  <si>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</si>
  <si>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</si>
  <si>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</si>
  <si>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</si>
  <si>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</si>
  <si>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</si>
  <si>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</si>
  <si>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</si>
  <si>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</si>
  <si>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</si>
  <si>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</si>
  <si>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</si>
  <si>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</si>
  <si>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</si>
  <si>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</si>
  <si>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</si>
  <si>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</si>
  <si>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</si>
  <si>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</si>
  <si>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</si>
  <si>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</si>
  <si>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</si>
  <si>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</si>
  <si>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</si>
  <si>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</si>
  <si>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</si>
  <si>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</si>
  <si>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</si>
  <si>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</si>
  <si>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</si>
  <si>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</si>
  <si>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</si>
  <si>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</si>
  <si>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</si>
  <si>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</si>
  <si>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</si>
  <si>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</si>
  <si>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</si>
  <si>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</si>
  <si>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</si>
  <si>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</si>
  <si>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</si>
  <si>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</si>
  <si>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</si>
  <si>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</si>
  <si>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</si>
  <si>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</si>
  <si>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</si>
  <si>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</si>
  <si>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</si>
  <si>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</si>
  <si>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</si>
  <si>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</si>
  <si>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</si>
  <si>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</si>
  <si>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</si>
  <si>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</si>
  <si>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</si>
  <si>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</si>
  <si>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</si>
  <si>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</si>
  <si>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</si>
  <si>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</si>
  <si>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</si>
  <si>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</si>
  <si>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</si>
  <si>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</si>
  <si>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</si>
  <si>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</si>
  <si>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</si>
  <si>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</si>
  <si>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</si>
  <si>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</si>
  <si>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</si>
  <si>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</si>
  <si>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</si>
  <si>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</si>
  <si>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</si>
  <si>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</si>
  <si>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</si>
  <si>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</si>
  <si>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</si>
  <si>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</si>
  <si>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</si>
  <si>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</si>
  <si>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</si>
  <si>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</si>
  <si>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</si>
  <si>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</si>
  <si>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</si>
  <si>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</si>
  <si>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</si>
  <si>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</si>
  <si>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</si>
  <si>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</si>
  <si>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</si>
  <si>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</si>
  <si>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</si>
  <si>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</si>
  <si>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</si>
  <si>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</si>
  <si>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</si>
  <si>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</si>
  <si>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</si>
  <si>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</si>
  <si>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</si>
  <si>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</si>
  <si>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</si>
  <si>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</si>
  <si>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</si>
  <si>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</si>
  <si>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</si>
  <si>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</si>
  <si>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</si>
  <si>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</si>
  <si>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</si>
  <si>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</si>
  <si>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</si>
  <si>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</si>
  <si>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</si>
  <si>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</si>
  <si>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</si>
  <si>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</si>
  <si>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</si>
  <si>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</si>
  <si>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</si>
  <si>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</si>
  <si>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</si>
  <si>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</si>
  <si>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</si>
  <si>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</si>
  <si>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</si>
  <si>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</si>
  <si>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</si>
  <si>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</si>
  <si>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</si>
  <si>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</si>
  <si>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</si>
  <si>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</si>
  <si>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</si>
  <si>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</si>
  <si>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</si>
  <si>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</si>
  <si>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</si>
  <si>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</si>
  <si>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</si>
  <si>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</si>
  <si>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</si>
  <si>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</si>
  <si>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</si>
  <si>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</si>
  <si>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</si>
  <si>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</si>
  <si>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</si>
  <si>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</si>
  <si>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</si>
  <si>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</si>
  <si>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</si>
  <si>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</si>
  <si>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</si>
  <si>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</si>
  <si>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</si>
  <si>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</si>
  <si>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</si>
  <si>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</si>
  <si>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</si>
  <si>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</si>
  <si>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</si>
  <si>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</si>
  <si>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</si>
  <si>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</si>
  <si>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</si>
  <si>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</si>
  <si>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</si>
  <si>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</si>
  <si>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</si>
  <si>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</si>
  <si>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</si>
  <si>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</si>
  <si>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</si>
  <si>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</si>
  <si>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</si>
  <si>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</si>
  <si>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</si>
  <si>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</si>
  <si>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</si>
  <si>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</si>
  <si>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</si>
  <si>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</si>
  <si>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</si>
  <si>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</si>
  <si>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</si>
  <si>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</si>
  <si>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</si>
  <si>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</si>
  <si>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</si>
  <si>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</si>
  <si>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</si>
  <si>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</si>
  <si>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</si>
  <si>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</si>
  <si>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</si>
  <si>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</si>
  <si>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</si>
  <si>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</si>
  <si>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</si>
  <si>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</si>
  <si>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</si>
  <si>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</si>
  <si>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</si>
  <si>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</si>
  <si>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</si>
  <si>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</si>
  <si>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</si>
  <si>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</si>
  <si>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</si>
  <si>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</si>
  <si>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</si>
  <si>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</si>
  <si>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</si>
  <si>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</si>
  <si>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</si>
  <si>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</si>
  <si>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</si>
  <si>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</si>
  <si>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</si>
  <si>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</si>
  <si>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</si>
  <si>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</si>
  <si>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</si>
  <si>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</si>
  <si>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</si>
  <si>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</si>
  <si>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</si>
  <si>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</si>
  <si>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</si>
  <si>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</si>
  <si>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</si>
  <si>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</si>
  <si>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</si>
  <si>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</si>
  <si>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</si>
  <si>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</si>
  <si>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</si>
  <si>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</si>
  <si>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</si>
  <si>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</si>
  <si>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</si>
  <si>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</si>
  <si>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</si>
  <si>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</si>
  <si>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</si>
  <si>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</si>
  <si>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</si>
  <si>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</si>
  <si>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</si>
  <si>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</si>
  <si>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</si>
  <si>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</si>
  <si>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</si>
  <si>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</si>
  <si>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</si>
  <si>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</si>
  <si>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</si>
  <si>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</si>
  <si>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</si>
  <si>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</si>
  <si>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</si>
  <si>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</si>
  <si>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</si>
  <si>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</si>
  <si>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</si>
  <si>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</si>
  <si>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</si>
  <si>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</si>
  <si>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</si>
  <si>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</si>
  <si>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</si>
  <si>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</si>
  <si>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</si>
  <si>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</si>
  <si>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</si>
  <si>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</si>
  <si>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</si>
  <si>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</si>
  <si>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</si>
  <si>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</si>
  <si>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</si>
  <si>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</si>
  <si>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</si>
  <si>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</si>
  <si>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</si>
  <si>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</si>
  <si>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</si>
  <si>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</si>
  <si>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</si>
  <si>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</si>
  <si>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</si>
  <si>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</si>
  <si>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</si>
  <si>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</si>
  <si>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</si>
  <si>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</si>
  <si>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</si>
  <si>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</si>
  <si>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</si>
  <si>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</si>
  <si>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</si>
  <si>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</si>
  <si>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</si>
  <si>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</si>
  <si>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</si>
  <si>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</si>
  <si>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</si>
  <si>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</si>
  <si>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</si>
  <si>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</si>
  <si>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</si>
  <si>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</si>
  <si>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</si>
  <si>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</si>
  <si>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</si>
  <si>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</si>
  <si>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</si>
  <si>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</si>
  <si>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</si>
  <si>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</si>
  <si>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</si>
  <si>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</si>
  <si>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</si>
  <si>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</si>
  <si>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</si>
  <si>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</si>
  <si>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</si>
  <si>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</si>
  <si>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</si>
  <si>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</si>
  <si>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</si>
  <si>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</si>
  <si>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</si>
  <si>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</si>
  <si>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</si>
  <si>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</si>
  <si>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</si>
  <si>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</si>
  <si>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</si>
  <si>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</si>
  <si>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</si>
  <si>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</si>
  <si>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</si>
  <si>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</si>
  <si>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</si>
  <si>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</si>
  <si>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</si>
  <si>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</si>
  <si>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</si>
  <si>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</si>
  <si>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</si>
  <si>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</si>
  <si>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</si>
  <si>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</si>
  <si>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</si>
  <si>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</si>
  <si>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</si>
  <si>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</si>
  <si>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</si>
  <si>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</si>
  <si>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</si>
  <si>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</si>
  <si>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</si>
  <si>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</si>
  <si>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</si>
  <si>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</si>
  <si>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</si>
  <si>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</si>
  <si>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</si>
  <si>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</si>
  <si>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</si>
  <si>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</si>
  <si>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</si>
  <si>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</si>
  <si>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</si>
  <si>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</si>
  <si>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</si>
  <si>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</si>
  <si>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</si>
  <si>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</si>
  <si>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</si>
  <si>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</si>
  <si>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</si>
  <si>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</si>
  <si>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</si>
  <si>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</si>
  <si>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</si>
  <si>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</si>
  <si>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</si>
  <si>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</si>
  <si>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</si>
  <si>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</si>
  <si>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</si>
  <si>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</si>
  <si>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</si>
  <si>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</si>
  <si>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</si>
  <si>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</si>
  <si>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</si>
  <si>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</si>
  <si>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</si>
  <si>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</si>
  <si>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</si>
  <si>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</si>
  <si>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</si>
  <si>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</si>
  <si>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</si>
  <si>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</si>
  <si>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</si>
  <si>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</si>
  <si>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</si>
  <si>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</si>
  <si>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</si>
  <si>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</si>
  <si>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</si>
  <si>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</si>
  <si>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</si>
  <si>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</si>
  <si>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</si>
  <si>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</si>
  <si>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</si>
  <si>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</si>
  <si>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</si>
  <si>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</si>
  <si>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</si>
  <si>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</si>
  <si>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</si>
  <si>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</si>
  <si>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</si>
  <si>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</si>
  <si>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</si>
  <si>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</si>
  <si>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</si>
  <si>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</si>
  <si>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</si>
  <si>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</si>
  <si>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</si>
  <si>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</si>
  <si>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</si>
  <si>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</si>
  <si>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</si>
  <si>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</si>
  <si>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</si>
  <si>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</si>
  <si>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</si>
  <si>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</si>
  <si>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</si>
  <si>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</si>
  <si>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</si>
  <si>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</si>
  <si>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</si>
  <si>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</si>
  <si>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</si>
  <si>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</si>
  <si>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</si>
  <si>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</si>
  <si>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</si>
  <si>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</si>
  <si>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</si>
  <si>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</si>
  <si>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</si>
  <si>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</si>
  <si>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</si>
  <si>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</si>
  <si>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</si>
  <si>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</si>
  <si>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</si>
  <si>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</si>
  <si>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</si>
  <si>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</si>
  <si>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</si>
  <si>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</si>
  <si>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</si>
  <si>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</si>
  <si>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</si>
  <si>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</si>
  <si>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</si>
  <si>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</si>
  <si>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</si>
  <si>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</si>
  <si>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</si>
  <si>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</si>
  <si>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</si>
  <si>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</si>
  <si>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</si>
  <si>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</si>
  <si>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</si>
  <si>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</si>
  <si>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</si>
  <si>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</si>
  <si>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</si>
  <si>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</si>
  <si>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</si>
  <si>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</si>
  <si>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</si>
  <si>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</si>
  <si>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</si>
  <si>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</si>
  <si>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</si>
  <si>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</si>
  <si>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</si>
  <si>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</si>
  <si>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</si>
  <si>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</si>
  <si>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</si>
  <si>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</si>
  <si>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</si>
  <si>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</si>
  <si>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</si>
  <si>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</si>
  <si>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</si>
  <si>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</si>
  <si>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</si>
  <si>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</si>
  <si>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</si>
  <si>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</si>
  <si>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</si>
  <si>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</si>
  <si>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</si>
  <si>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</si>
  <si>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</si>
  <si>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</si>
  <si>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</si>
  <si>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</si>
  <si>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</si>
  <si>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</si>
  <si>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</si>
  <si>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</si>
  <si>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</si>
  <si>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</si>
  <si>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</si>
  <si>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</si>
  <si>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</si>
  <si>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</si>
  <si>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</si>
  <si>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</si>
  <si>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</si>
  <si>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</si>
  <si>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</si>
  <si>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</si>
  <si>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</si>
  <si>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</si>
  <si>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</si>
  <si>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</si>
  <si>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</si>
  <si>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</si>
  <si>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</si>
  <si>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</si>
  <si>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</si>
  <si>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</si>
  <si>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</si>
  <si>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</si>
  <si>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</si>
  <si>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</si>
  <si>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</si>
  <si>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</si>
  <si>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</si>
  <si>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</si>
  <si>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</si>
  <si>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</si>
  <si>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</si>
  <si>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</si>
  <si>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</si>
  <si>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</si>
  <si>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</si>
  <si>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</si>
  <si>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</si>
  <si>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</si>
  <si>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</si>
  <si>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</si>
  <si>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</si>
  <si>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</si>
  <si>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</si>
  <si>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</si>
  <si>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</si>
  <si>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</si>
  <si>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</si>
  <si>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</si>
  <si>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</si>
  <si>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</si>
  <si>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</si>
  <si>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</si>
  <si>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</si>
  <si>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</si>
  <si>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</si>
  <si>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</si>
  <si>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</si>
  <si>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</si>
  <si>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</si>
  <si>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</si>
  <si>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</si>
  <si>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</si>
  <si>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</si>
  <si>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</si>
  <si>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</si>
  <si>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</si>
  <si>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</si>
  <si>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</si>
  <si>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</si>
  <si>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</si>
  <si>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</si>
  <si>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</si>
  <si>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</si>
  <si>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</si>
  <si>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</si>
  <si>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</si>
  <si>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</si>
  <si>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</si>
  <si>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</si>
  <si>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</si>
  <si>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</si>
  <si>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</si>
  <si>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</si>
  <si>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</si>
  <si>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</si>
  <si>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</si>
  <si>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</si>
  <si>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</si>
  <si>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</si>
  <si>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</si>
  <si>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</si>
  <si>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</si>
  <si>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</si>
  <si>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</si>
  <si>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</si>
  <si>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</si>
  <si>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</si>
  <si>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</si>
  <si>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</si>
  <si>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</si>
  <si>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</si>
  <si>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</si>
  <si>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</si>
  <si>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</si>
  <si>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</si>
  <si>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</si>
  <si>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</si>
  <si>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</si>
  <si>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</si>
  <si>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</si>
  <si>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</si>
  <si>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</si>
  <si>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</si>
  <si>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</si>
  <si>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</si>
  <si>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</si>
  <si>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</si>
  <si>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</si>
  <si>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</si>
  <si>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</si>
  <si>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</si>
  <si>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</si>
  <si>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</si>
  <si>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</si>
  <si>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</si>
  <si>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</si>
  <si>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</si>
  <si>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</si>
  <si>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</si>
  <si>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</si>
  <si>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</si>
  <si>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</si>
  <si>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</si>
  <si>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</si>
  <si>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</si>
  <si>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</si>
  <si>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</si>
  <si>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</si>
  <si>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</si>
  <si>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</si>
  <si>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</si>
  <si>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</si>
  <si>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</si>
  <si>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</si>
  <si>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</si>
  <si>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</si>
  <si>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</si>
  <si>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</si>
  <si>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</si>
  <si>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</si>
  <si>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</si>
  <si>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</si>
  <si>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</si>
  <si>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</si>
  <si>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</si>
  <si>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</si>
  <si>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</si>
  <si>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</si>
  <si>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</si>
  <si>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</si>
  <si>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</si>
  <si>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</si>
  <si>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</si>
  <si>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</si>
  <si>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</si>
  <si>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</si>
  <si>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</si>
  <si>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</si>
  <si>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</si>
  <si>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</si>
  <si>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</si>
  <si>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</si>
  <si>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</si>
  <si>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</si>
  <si>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</si>
  <si>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</si>
  <si>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</si>
  <si>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</si>
  <si>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</si>
  <si>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</si>
  <si>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</si>
  <si>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</si>
  <si>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</si>
  <si>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</si>
  <si>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</si>
  <si>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</si>
  <si>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</si>
  <si>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</si>
  <si>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</si>
  <si>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</si>
  <si>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</si>
  <si>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</si>
  <si>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</si>
  <si>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</si>
  <si>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</si>
  <si>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</si>
  <si>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</si>
  <si>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</si>
  <si>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</si>
  <si>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</si>
  <si>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</si>
  <si>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</si>
  <si>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</si>
  <si>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</si>
  <si>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</si>
  <si>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</si>
  <si>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</si>
  <si>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</si>
  <si>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</si>
  <si>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</si>
  <si>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</si>
  <si>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</si>
  <si>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</si>
  <si>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</si>
  <si>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</si>
  <si>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</si>
  <si>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</si>
  <si>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</si>
  <si>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</si>
  <si>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</si>
  <si>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</si>
  <si>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</si>
  <si>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</si>
  <si>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</si>
  <si>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</si>
  <si>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</si>
  <si>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</si>
  <si>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</si>
  <si>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</si>
  <si>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</si>
  <si>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</si>
  <si>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</si>
  <si>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</si>
  <si>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</si>
  <si>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</si>
  <si>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</si>
  <si>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</si>
  <si>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</si>
  <si>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</si>
  <si>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</si>
  <si>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</si>
  <si>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</si>
  <si>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</si>
  <si>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</si>
  <si>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</si>
  <si>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</si>
  <si>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</si>
  <si>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</si>
  <si>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</si>
  <si>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</si>
  <si>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</si>
  <si>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</si>
  <si>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</si>
  <si>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</si>
  <si>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</si>
  <si>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</si>
  <si>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</si>
  <si>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</si>
  <si>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</si>
  <si>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</si>
  <si>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</si>
  <si>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</si>
  <si>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</si>
  <si>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</si>
  <si>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</si>
  <si>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</si>
  <si>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</si>
  <si>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</si>
  <si>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</si>
  <si>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</si>
  <si>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</si>
  <si>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</si>
  <si>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</si>
  <si>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</si>
  <si>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</si>
  <si>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</si>
  <si>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</si>
  <si>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</si>
  <si>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</si>
  <si>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</si>
  <si>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</si>
  <si>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</si>
  <si>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</si>
  <si>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</si>
  <si>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</si>
  <si>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</si>
  <si>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</si>
  <si>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</si>
  <si>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</si>
  <si>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</si>
  <si>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</si>
  <si>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</si>
  <si>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</si>
  <si>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</si>
  <si>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</si>
  <si>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</si>
  <si>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</si>
  <si>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</si>
  <si>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</si>
  <si>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</si>
  <si>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</si>
  <si>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</si>
  <si>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</si>
  <si>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</si>
  <si>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</si>
  <si>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</si>
  <si>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</si>
  <si>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</si>
  <si>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</si>
  <si>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</si>
  <si>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</si>
  <si>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</si>
  <si>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</si>
  <si>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</si>
  <si>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</si>
  <si>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</si>
  <si>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</si>
  <si>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</si>
  <si>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</si>
  <si>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</si>
  <si>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</si>
  <si>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</si>
  <si>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</si>
  <si>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</si>
  <si>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</si>
  <si>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</si>
  <si>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</si>
  <si>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</si>
  <si>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</si>
  <si>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</si>
  <si>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</si>
  <si>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</si>
  <si>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</si>
  <si>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</si>
  <si>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</si>
  <si>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</si>
  <si>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</si>
  <si>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</si>
  <si>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</si>
  <si>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</si>
  <si>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</si>
  <si>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</si>
  <si>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</si>
  <si>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</si>
  <si>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</si>
  <si>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</si>
  <si>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</si>
  <si>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</si>
  <si>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</si>
  <si>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</si>
  <si>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</si>
  <si>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</si>
  <si>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</si>
  <si>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</si>
  <si>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</si>
  <si>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</si>
  <si>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</si>
  <si>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</si>
  <si>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</si>
  <si>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</si>
  <si>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</si>
  <si>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</si>
  <si>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</si>
  <si>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</si>
  <si>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</si>
  <si>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</si>
  <si>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</si>
  <si>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</si>
  <si>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</si>
  <si>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</si>
  <si>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</si>
  <si>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</si>
  <si>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</si>
  <si>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</si>
  <si>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</si>
  <si>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</si>
  <si>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</si>
  <si>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</si>
  <si>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</si>
  <si>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</si>
  <si>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</si>
  <si>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</si>
  <si>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</si>
  <si>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</si>
  <si>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</si>
  <si>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</si>
  <si>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</si>
  <si>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</si>
  <si>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</si>
  <si>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</si>
  <si>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</si>
  <si>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</si>
  <si>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</si>
  <si>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</si>
  <si>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</si>
  <si>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</si>
  <si>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</si>
  <si>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</si>
  <si>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</si>
  <si>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</si>
  <si>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</si>
  <si>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</si>
  <si>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</si>
  <si>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</si>
  <si>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</si>
  <si>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</si>
  <si>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</si>
  <si>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</si>
  <si>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</si>
  <si>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</si>
  <si>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</si>
  <si>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</si>
  <si>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</si>
  <si>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</si>
  <si>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</si>
  <si>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</si>
  <si>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</si>
  <si>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</si>
  <si>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</si>
  <si>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</si>
  <si>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</si>
  <si>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</si>
  <si>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</si>
  <si>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</si>
  <si>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</si>
  <si>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</si>
  <si>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</si>
  <si>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</si>
  <si>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</si>
  <si>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</si>
  <si>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</si>
  <si>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</si>
  <si>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</si>
  <si>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</si>
  <si>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</si>
  <si>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</si>
  <si>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</si>
  <si>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</si>
  <si>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</si>
  <si>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</si>
  <si>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</si>
  <si>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</si>
  <si>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</si>
  <si>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</si>
  <si>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</si>
  <si>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</si>
  <si>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</si>
  <si>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</si>
  <si>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</si>
  <si>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</si>
  <si>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</si>
  <si>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</si>
  <si>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</si>
  <si>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</si>
  <si>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</si>
  <si>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</si>
  <si>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</si>
  <si>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</si>
  <si>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</si>
  <si>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</si>
  <si>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</si>
  <si>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</si>
  <si>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</si>
  <si>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</si>
  <si>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</si>
  <si>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</si>
  <si>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</si>
  <si>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</si>
  <si>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</si>
  <si>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</si>
  <si>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</si>
  <si>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</si>
  <si>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</si>
  <si>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</si>
  <si>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</si>
  <si>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</si>
  <si>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</si>
  <si>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</si>
  <si>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</si>
  <si>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</si>
  <si>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</si>
  <si>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</si>
  <si>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</si>
  <si>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</si>
  <si>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</si>
  <si>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</si>
  <si>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</si>
  <si>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</si>
  <si>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</si>
  <si>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</si>
  <si>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</si>
  <si>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</si>
  <si>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</si>
  <si>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</si>
  <si>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</si>
  <si>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</si>
  <si>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</si>
  <si>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</si>
  <si>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</si>
  <si>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</si>
  <si>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</si>
  <si>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</si>
  <si>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</si>
  <si>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</si>
  <si>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</si>
  <si>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</si>
  <si>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</si>
  <si>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</si>
  <si>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</si>
  <si>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</si>
  <si>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</si>
  <si>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</si>
  <si>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</si>
  <si>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</si>
  <si>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</si>
  <si>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</si>
  <si>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</si>
  <si>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</si>
  <si>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</si>
  <si>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</si>
  <si>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</si>
  <si>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</si>
  <si>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</si>
  <si>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</si>
  <si>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</si>
  <si>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</si>
  <si>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</si>
  <si>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</si>
  <si>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</si>
  <si>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</si>
  <si>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</si>
  <si>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</si>
  <si>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</si>
  <si>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</si>
  <si>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</si>
  <si>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</si>
  <si>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</si>
  <si>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</si>
  <si>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</si>
  <si>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</si>
  <si>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</si>
  <si>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</si>
  <si>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</si>
  <si>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</si>
  <si>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</si>
  <si>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</si>
  <si>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</si>
  <si>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</si>
  <si>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</si>
  <si>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</si>
  <si>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</si>
  <si>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</si>
  <si>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</si>
  <si>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</si>
  <si>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</si>
  <si>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</si>
  <si>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</si>
  <si>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</si>
  <si>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</si>
  <si>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</si>
  <si>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</si>
  <si>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</si>
  <si>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</si>
  <si>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</si>
  <si>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</si>
  <si>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</si>
  <si>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</si>
  <si>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</si>
  <si>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</si>
  <si>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</si>
  <si>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</si>
  <si>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</si>
  <si>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</si>
  <si>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</si>
  <si>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</si>
  <si>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</si>
  <si>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</si>
  <si>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</si>
  <si>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</si>
  <si>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</si>
  <si>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</si>
  <si>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</si>
  <si>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</si>
  <si>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</si>
  <si>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</si>
  <si>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</si>
  <si>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</si>
  <si>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</si>
  <si>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</si>
  <si>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</si>
  <si>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</si>
  <si>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</si>
  <si>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</si>
  <si>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</si>
  <si>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</si>
  <si>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</si>
  <si>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</si>
  <si>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</si>
  <si>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</si>
  <si>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</si>
  <si>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</si>
  <si>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</si>
  <si>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</si>
  <si>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</si>
  <si>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</si>
  <si>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</si>
  <si>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</si>
  <si>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</si>
  <si>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</si>
  <si>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</si>
  <si>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</si>
  <si>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</si>
  <si>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</si>
  <si>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</si>
  <si>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</si>
  <si>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</si>
  <si>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</si>
  <si>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</si>
  <si>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</si>
  <si>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</si>
  <si>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</si>
  <si>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</si>
  <si>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</si>
  <si>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</si>
  <si>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</si>
  <si>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</si>
  <si>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</si>
  <si>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</si>
  <si>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</si>
  <si>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</si>
  <si>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</si>
  <si>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</si>
  <si>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</si>
  <si>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</si>
  <si>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</si>
  <si>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</si>
  <si>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</si>
  <si>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</si>
  <si>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</si>
  <si>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</si>
  <si>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</si>
  <si>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</si>
  <si>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</si>
  <si>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</si>
  <si>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</si>
  <si>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</si>
  <si>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</si>
  <si>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</si>
  <si>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</si>
  <si>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</si>
  <si>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</si>
  <si>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</si>
  <si>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</si>
  <si>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</si>
  <si>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</si>
  <si>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</si>
  <si>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</si>
  <si>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</si>
  <si>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</si>
  <si>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</si>
  <si>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</si>
  <si>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</si>
  <si>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</si>
  <si>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</si>
  <si>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</si>
  <si>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</si>
  <si>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</si>
  <si>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</si>
  <si>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</si>
  <si>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</si>
  <si>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</si>
  <si>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</si>
  <si>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</si>
  <si>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</si>
  <si>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</si>
  <si>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</si>
  <si>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</si>
  <si>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</si>
  <si>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</si>
  <si>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</si>
  <si>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</si>
  <si>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</si>
  <si>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</si>
  <si>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</si>
  <si>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</si>
  <si>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</si>
  <si>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</si>
  <si>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</si>
  <si>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</si>
  <si>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</si>
  <si>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</si>
  <si>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</si>
  <si>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</si>
  <si>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</si>
  <si>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</si>
  <si>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</si>
  <si>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</si>
  <si>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</si>
  <si>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</si>
  <si>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</si>
  <si>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</si>
  <si>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</si>
  <si>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</si>
  <si>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</si>
  <si>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</si>
  <si>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</si>
  <si>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</si>
  <si>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</si>
  <si>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</si>
  <si>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</si>
  <si>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</si>
  <si>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</si>
  <si>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</si>
  <si>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</si>
  <si>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</si>
  <si>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</si>
  <si>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</si>
  <si>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</si>
  <si>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</si>
  <si>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</si>
  <si>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</si>
  <si>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</si>
  <si>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</si>
  <si>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</si>
  <si>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</si>
  <si>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</si>
  <si>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</si>
  <si>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</si>
  <si>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</si>
  <si>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</si>
  <si>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</si>
  <si>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</si>
  <si>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</si>
  <si>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</si>
  <si>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</si>
  <si>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</si>
  <si>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</si>
  <si>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</si>
  <si>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</si>
  <si>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</si>
  <si>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</si>
  <si>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</si>
  <si>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</si>
  <si>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</si>
  <si>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</si>
  <si>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</si>
  <si>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</si>
  <si>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</si>
  <si>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</si>
  <si>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</si>
  <si>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</si>
  <si>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</si>
  <si>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</si>
  <si>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</si>
  <si>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</si>
  <si>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</si>
  <si>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</si>
  <si>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</si>
  <si>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</si>
  <si>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</si>
  <si>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</si>
  <si>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</si>
  <si>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</si>
  <si>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</si>
  <si>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</si>
  <si>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</si>
  <si>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</si>
  <si>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</si>
  <si>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</si>
  <si>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</si>
  <si>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</si>
  <si>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</si>
  <si>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</si>
  <si>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</si>
  <si>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</si>
  <si>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</si>
  <si>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</si>
  <si>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</si>
  <si>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</si>
  <si>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</si>
  <si>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</si>
  <si>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</si>
  <si>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</si>
  <si>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</si>
  <si>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</si>
  <si>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</si>
  <si>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</si>
  <si>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</si>
  <si>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</si>
  <si>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</si>
  <si>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</si>
  <si>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</si>
  <si>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</si>
  <si>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</si>
  <si>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</si>
  <si>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</si>
  <si>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</si>
  <si>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</si>
  <si>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</si>
  <si>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</si>
  <si>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</si>
  <si>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</si>
  <si>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</si>
  <si>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</si>
  <si>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</si>
  <si>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</si>
  <si>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</si>
  <si>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</si>
  <si>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</si>
  <si>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</si>
  <si>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</si>
  <si>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</si>
  <si>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</si>
  <si>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</si>
  <si>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</si>
  <si>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</si>
  <si>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</si>
  <si>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</si>
  <si>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</si>
  <si>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</si>
  <si>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</si>
  <si>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</si>
  <si>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</si>
  <si>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</si>
  <si>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</si>
  <si>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</si>
  <si>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</si>
  <si>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</si>
  <si>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</si>
  <si>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</si>
  <si>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</si>
  <si>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</si>
  <si>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</si>
  <si>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</si>
  <si>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</si>
  <si>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</si>
  <si>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</si>
  <si>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</si>
  <si>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</si>
  <si>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</si>
  <si>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</si>
  <si>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</si>
  <si>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</si>
  <si>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</si>
  <si>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</si>
  <si>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</si>
  <si>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</si>
  <si>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</si>
  <si>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</si>
  <si>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</si>
  <si>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</si>
  <si>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</si>
  <si>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</si>
  <si>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</si>
  <si>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</si>
  <si>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</si>
  <si>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</si>
  <si>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</si>
  <si>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</si>
  <si>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</si>
  <si>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</si>
  <si>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</si>
  <si>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</si>
  <si>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</si>
  <si>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</si>
  <si>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</si>
  <si>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</si>
  <si>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</si>
  <si>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</si>
  <si>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</si>
  <si>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</si>
  <si>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</si>
  <si>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</si>
  <si>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</si>
  <si>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</si>
  <si>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</si>
  <si>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</si>
  <si>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</si>
  <si>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</si>
  <si>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</si>
  <si>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</si>
  <si>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</si>
  <si>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</si>
  <si>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</si>
  <si>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</si>
  <si>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</si>
  <si>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</si>
  <si>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</si>
  <si>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</si>
  <si>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</si>
  <si>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</si>
  <si>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</si>
  <si>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</si>
  <si>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</si>
  <si>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</si>
  <si>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</si>
  <si>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</si>
  <si>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</si>
  <si>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</si>
  <si>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</si>
  <si>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</si>
  <si>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</si>
  <si>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</si>
  <si>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</si>
  <si>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</si>
  <si>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</si>
  <si>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</si>
  <si>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</si>
  <si>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</si>
  <si>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</si>
  <si>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</si>
  <si>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</si>
  <si>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</si>
  <si>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</si>
  <si>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</si>
  <si>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</si>
  <si>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</si>
  <si>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</si>
  <si>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</si>
  <si>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</si>
  <si>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</si>
  <si>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</si>
  <si>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</si>
  <si>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</si>
  <si>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</si>
  <si>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</si>
  <si>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</si>
  <si>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</si>
  <si>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</si>
  <si>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</si>
  <si>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</si>
  <si>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</si>
  <si>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</si>
  <si>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</si>
  <si>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</si>
  <si>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</si>
  <si>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</si>
  <si>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</si>
  <si>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</si>
  <si>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</si>
  <si>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</si>
  <si>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</si>
  <si>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</si>
  <si>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</si>
  <si>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</si>
  <si>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</si>
  <si>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</si>
  <si>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</si>
  <si>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</si>
  <si>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</si>
  <si>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</si>
  <si>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</si>
  <si>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</si>
  <si>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</si>
  <si>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</si>
  <si>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</si>
  <si>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</si>
  <si>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</si>
  <si>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</si>
  <si>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</si>
  <si>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</si>
  <si>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</si>
  <si>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</si>
  <si>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</si>
  <si>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</si>
  <si>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</si>
  <si>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</si>
  <si>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</si>
  <si>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</si>
  <si>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</si>
  <si>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</si>
  <si>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</si>
  <si>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</si>
  <si>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</si>
  <si>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</si>
  <si>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</si>
  <si>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</si>
  <si>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</si>
  <si>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</si>
  <si>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</si>
  <si>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</si>
  <si>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</si>
  <si>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</si>
  <si>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</si>
  <si>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</si>
  <si>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</si>
  <si>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</si>
  <si>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</si>
  <si>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</si>
  <si>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</si>
  <si>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</si>
  <si>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</si>
  <si>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</si>
  <si>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</si>
  <si>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</si>
  <si>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</si>
  <si>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</si>
  <si>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</si>
  <si>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</si>
  <si>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</si>
  <si>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</si>
  <si>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</si>
  <si>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</si>
  <si>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</si>
  <si>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</si>
  <si>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</si>
  <si>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</si>
  <si>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</si>
  <si>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</si>
  <si>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</si>
  <si>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</si>
  <si>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</si>
  <si>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</si>
  <si>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</si>
  <si>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</si>
  <si>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</si>
  <si>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</si>
  <si>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</si>
  <si>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</si>
  <si>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</si>
  <si>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</si>
  <si>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</si>
  <si>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</si>
  <si>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</si>
  <si>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</si>
  <si>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</si>
  <si>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</si>
  <si>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</si>
  <si>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</si>
  <si>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</si>
  <si>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</si>
  <si>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</si>
  <si>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</si>
  <si>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</si>
  <si>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</si>
  <si>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</si>
  <si>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</si>
  <si>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</si>
  <si>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</si>
  <si>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</si>
  <si>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</si>
  <si>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</si>
  <si>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</si>
  <si>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</si>
  <si>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</si>
  <si>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</si>
  <si>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</si>
  <si>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</si>
  <si>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</si>
  <si>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</si>
  <si>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</si>
  <si>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</si>
  <si>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</si>
  <si>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</si>
  <si>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</si>
  <si>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</si>
  <si>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</si>
  <si>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</si>
  <si>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</si>
  <si>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</si>
  <si>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</si>
  <si>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</si>
  <si>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</si>
  <si>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</si>
  <si>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</si>
  <si>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</si>
  <si>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</si>
  <si>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</si>
  <si>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</si>
  <si>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</si>
  <si>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</si>
  <si>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</si>
  <si>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</si>
  <si>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</si>
  <si>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</si>
  <si>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</si>
  <si>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</si>
  <si>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</si>
  <si>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</si>
  <si>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</si>
  <si>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</si>
  <si>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</si>
  <si>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</si>
  <si>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</si>
  <si>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</si>
  <si>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</si>
  <si>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</si>
  <si>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</si>
  <si>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</si>
  <si>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</si>
  <si>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</si>
  <si>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</si>
  <si>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</si>
  <si>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</si>
  <si>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</si>
  <si>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</si>
  <si>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</si>
  <si>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</si>
  <si>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</si>
  <si>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</si>
  <si>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</si>
  <si>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</si>
  <si>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</si>
  <si>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</si>
  <si>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</si>
  <si>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</si>
  <si>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</si>
  <si>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</si>
  <si>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</si>
  <si>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</si>
  <si>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</si>
  <si>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</si>
  <si>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</si>
  <si>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</si>
  <si>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</si>
  <si>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</si>
  <si>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</si>
  <si>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</si>
  <si>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</si>
  <si>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</si>
  <si>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</si>
  <si>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</si>
  <si>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</si>
  <si>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</si>
  <si>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</si>
  <si>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</si>
  <si>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</si>
  <si>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</si>
  <si>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</si>
  <si>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</si>
  <si>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</si>
  <si>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</si>
  <si>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</si>
  <si>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</si>
  <si>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</si>
  <si>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</si>
  <si>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</si>
  <si>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</si>
  <si>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</si>
  <si>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</si>
  <si>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</si>
  <si>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</si>
  <si>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</si>
  <si>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</si>
  <si>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</si>
  <si>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</si>
  <si>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</si>
  <si>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</si>
  <si>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</si>
  <si>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</si>
  <si>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</si>
  <si>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</si>
  <si>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</si>
  <si>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</si>
  <si>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</si>
  <si>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</si>
  <si>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</si>
  <si>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</si>
  <si>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</si>
  <si>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</si>
  <si>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</si>
  <si>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</si>
  <si>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</si>
  <si>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</si>
  <si>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</si>
  <si>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</si>
  <si>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</si>
  <si>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</si>
  <si>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</si>
  <si>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</si>
  <si>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</si>
  <si>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</si>
  <si>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</si>
  <si>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</si>
  <si>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</si>
  <si>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</si>
  <si>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</si>
  <si>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</si>
  <si>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</si>
  <si>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</si>
  <si>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</si>
  <si>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</si>
  <si>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</si>
  <si>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</si>
  <si>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</si>
  <si>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</si>
  <si>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</si>
  <si>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</si>
  <si>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</si>
  <si>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</si>
  <si>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</si>
  <si>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</si>
  <si>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</si>
  <si>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</si>
  <si>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</si>
  <si>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</si>
  <si>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</si>
  <si>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</si>
  <si>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</si>
  <si>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</si>
  <si>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</si>
  <si>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</si>
  <si>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</si>
  <si>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</si>
  <si>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</si>
  <si>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</si>
  <si>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</si>
  <si>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</si>
  <si>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</si>
  <si>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</si>
  <si>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</si>
  <si>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</si>
  <si>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</si>
  <si>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</si>
  <si>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</si>
  <si>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</si>
  <si>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</si>
  <si>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</si>
  <si>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</si>
  <si>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</si>
  <si>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</si>
  <si>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</si>
  <si>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</si>
  <si>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</si>
  <si>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</si>
  <si>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</si>
  <si>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</si>
  <si>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</si>
  <si>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</si>
  <si>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</si>
  <si>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</si>
  <si>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</si>
  <si>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</si>
  <si>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</si>
  <si>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</si>
  <si>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</si>
  <si>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</si>
  <si>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</si>
  <si>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</si>
  <si>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</si>
  <si>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</si>
  <si>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</si>
  <si>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</si>
  <si>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</si>
  <si>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</si>
  <si>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</si>
  <si>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</si>
  <si>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</si>
  <si>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</si>
  <si>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</si>
  <si>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</si>
  <si>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</si>
  <si>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</si>
  <si>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</si>
  <si>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</si>
  <si>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</si>
  <si>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</si>
  <si>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</si>
  <si>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</si>
  <si>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</si>
  <si>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</si>
  <si>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</si>
  <si>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</si>
  <si>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</si>
  <si>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</si>
  <si>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</si>
  <si>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</si>
  <si>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</si>
  <si>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</si>
  <si>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</si>
  <si>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</si>
  <si>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</si>
  <si>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</si>
  <si>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</si>
  <si>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</si>
  <si>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</si>
  <si>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</si>
  <si>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</si>
  <si>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</si>
  <si>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</si>
  <si>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</si>
  <si>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</si>
  <si>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</si>
  <si>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</si>
  <si>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</si>
  <si>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</si>
  <si>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</si>
  <si>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</si>
  <si>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</si>
  <si>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</si>
  <si>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</si>
  <si>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</si>
  <si>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</si>
  <si>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</si>
  <si>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</si>
  <si>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</si>
  <si>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</si>
  <si>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</si>
  <si>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</si>
  <si>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</si>
  <si>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</si>
  <si>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</si>
  <si>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</si>
  <si>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</si>
  <si>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</si>
  <si>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</si>
  <si>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</si>
  <si>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</si>
  <si>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</si>
  <si>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</si>
  <si>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</si>
  <si>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</si>
  <si>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</si>
  <si>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</si>
  <si>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</si>
  <si>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</si>
  <si>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</si>
  <si>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</si>
  <si>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</si>
  <si>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</si>
  <si>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</si>
  <si>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</si>
  <si>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</si>
  <si>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</si>
  <si>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</si>
  <si>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</si>
  <si>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</si>
  <si>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</si>
  <si>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</si>
  <si>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</si>
  <si>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</si>
  <si>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</si>
  <si>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</si>
  <si>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</si>
  <si>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</si>
  <si>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</si>
  <si>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</si>
  <si>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</si>
  <si>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</si>
  <si>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</si>
  <si>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</si>
  <si>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</si>
  <si>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</si>
  <si>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</si>
  <si>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</si>
  <si>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</si>
  <si>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</si>
  <si>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</si>
  <si>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</si>
  <si>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</si>
  <si>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</si>
  <si>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</si>
  <si>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</si>
  <si>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</si>
  <si>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</si>
  <si>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</si>
  <si>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</si>
  <si>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</si>
  <si>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</si>
  <si>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</si>
  <si>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</si>
  <si>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</si>
  <si>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</si>
  <si>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</si>
  <si>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</si>
  <si>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</si>
  <si>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</si>
  <si>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</si>
  <si>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</si>
  <si>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</si>
  <si>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</si>
  <si>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</si>
  <si>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</si>
  <si>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</si>
  <si>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</si>
  <si>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</si>
  <si>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</si>
  <si>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</si>
  <si>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</si>
  <si>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</si>
  <si>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</si>
  <si>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</si>
  <si>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</si>
  <si>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</si>
  <si>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</si>
  <si>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</si>
  <si>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</si>
  <si>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</si>
  <si>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</si>
  <si>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</si>
  <si>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</si>
  <si>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</si>
  <si>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</si>
  <si>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</si>
  <si>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</si>
  <si>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</si>
  <si>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</si>
  <si>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</si>
  <si>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</si>
  <si>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</si>
  <si>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</si>
  <si>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</si>
  <si>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</si>
  <si>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</si>
  <si>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</si>
  <si>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</si>
  <si>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</si>
  <si>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</si>
  <si>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</si>
  <si>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</si>
  <si>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</si>
  <si>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</si>
  <si>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</si>
  <si>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</si>
  <si>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</si>
  <si>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</si>
  <si>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</si>
  <si>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</si>
  <si>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</si>
  <si>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</si>
  <si>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</si>
  <si>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</si>
  <si>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</si>
  <si>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</si>
  <si>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</si>
  <si>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</si>
  <si>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</si>
  <si>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</si>
  <si>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</si>
  <si>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</si>
  <si>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</si>
  <si>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</si>
  <si>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</si>
  <si>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</si>
  <si>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</si>
  <si>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</si>
  <si>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</si>
  <si>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</si>
  <si>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</si>
  <si>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</si>
  <si>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</si>
  <si>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</si>
  <si>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</si>
  <si>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</si>
  <si>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</si>
  <si>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</si>
  <si>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</si>
  <si>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</si>
  <si>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</si>
  <si>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</si>
  <si>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</si>
  <si>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</si>
  <si>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</si>
  <si>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</si>
  <si>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</si>
  <si>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</si>
  <si>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</si>
  <si>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</si>
  <si>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</si>
  <si>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</si>
  <si>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</si>
  <si>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</si>
  <si>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</si>
  <si>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</si>
  <si>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</si>
  <si>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</si>
  <si>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</si>
  <si>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</si>
  <si>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</si>
  <si>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</si>
  <si>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</si>
  <si>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</si>
  <si>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</si>
  <si>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</si>
  <si>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</si>
  <si>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</si>
  <si>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</si>
  <si>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</si>
  <si>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</si>
  <si>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</si>
  <si>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</si>
  <si>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</si>
  <si>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</si>
  <si>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</si>
  <si>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</si>
  <si>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</si>
  <si>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</si>
  <si>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</si>
  <si>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</si>
  <si>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</si>
  <si>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</si>
  <si>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</si>
  <si>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</si>
  <si>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</si>
  <si>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</si>
  <si>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</si>
  <si>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</si>
  <si>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</si>
  <si>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</si>
  <si>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</si>
  <si>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</si>
  <si>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</si>
  <si>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</si>
  <si>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</si>
  <si>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</si>
  <si>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</si>
  <si>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</si>
  <si>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</si>
  <si>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</si>
  <si>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</si>
  <si>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</si>
  <si>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</si>
  <si>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</si>
  <si>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</si>
  <si>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</si>
  <si>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</si>
  <si>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</si>
  <si>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</si>
  <si>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</si>
  <si>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</si>
  <si>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</si>
  <si>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</si>
  <si>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</si>
  <si>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</si>
  <si>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</si>
  <si>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</si>
  <si>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</si>
  <si>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</si>
  <si>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</si>
  <si>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</si>
  <si>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</si>
  <si>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</si>
  <si>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</si>
  <si>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</si>
  <si>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</si>
  <si>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</si>
  <si>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</si>
  <si>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</si>
  <si>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</si>
  <si>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</si>
  <si>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</si>
  <si>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</si>
  <si>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</si>
  <si>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</si>
  <si>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</si>
  <si>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</si>
  <si>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</si>
  <si>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</si>
  <si>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</si>
  <si>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</si>
  <si>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</si>
  <si>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</si>
  <si>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</si>
  <si>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</si>
  <si>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</si>
  <si>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</si>
  <si>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</si>
  <si>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</si>
  <si>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</si>
  <si>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</si>
  <si>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</si>
  <si>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</si>
  <si>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</si>
  <si>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</si>
  <si>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</si>
  <si>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</si>
  <si>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</si>
  <si>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</si>
  <si>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</si>
  <si>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</si>
  <si>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</si>
  <si>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</si>
  <si>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</si>
  <si>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</si>
  <si>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</si>
  <si>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</si>
  <si>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</si>
  <si>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</si>
  <si>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</si>
  <si>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</si>
  <si>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</si>
  <si>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</si>
  <si>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</si>
  <si>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</si>
  <si>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</si>
  <si>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</si>
  <si>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</si>
  <si>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</si>
  <si>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</si>
  <si>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</si>
  <si>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</si>
  <si>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</si>
  <si>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</si>
  <si>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</si>
  <si>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</si>
  <si>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</si>
  <si>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</si>
  <si>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</si>
  <si>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</si>
  <si>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</si>
  <si>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</si>
  <si>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</si>
  <si>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</si>
  <si>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</si>
  <si>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</si>
  <si>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</si>
  <si>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</si>
  <si>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</si>
  <si>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</si>
  <si>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</si>
  <si>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</si>
  <si>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</si>
  <si>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</si>
  <si>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</si>
  <si>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</si>
  <si>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</si>
  <si>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</si>
  <si>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</si>
  <si>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</si>
  <si>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</si>
  <si>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</si>
  <si>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</si>
  <si>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</si>
  <si>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</si>
  <si>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</si>
  <si>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</si>
  <si>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</si>
  <si>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</si>
  <si>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</si>
  <si>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</si>
  <si>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</si>
  <si>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</si>
  <si>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</si>
  <si>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</si>
  <si>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</si>
  <si>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</si>
  <si>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</si>
  <si>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</si>
  <si>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</si>
  <si>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</si>
  <si>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</si>
  <si>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</si>
  <si>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</si>
  <si>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</si>
  <si>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</si>
  <si>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</si>
  <si>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</si>
  <si>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</si>
  <si>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</si>
  <si>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</si>
  <si>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</si>
  <si>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</si>
  <si>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</si>
  <si>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</si>
  <si>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</si>
  <si>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</si>
  <si>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</si>
  <si>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</si>
  <si>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</si>
  <si>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</si>
  <si>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</si>
  <si>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</si>
  <si>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</si>
  <si>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</si>
  <si>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</si>
  <si>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</si>
  <si>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</si>
  <si>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</si>
  <si>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</si>
  <si>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</si>
  <si>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</si>
  <si>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</si>
  <si>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</si>
  <si>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</si>
  <si>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</si>
  <si>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</si>
  <si>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</si>
  <si>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</si>
  <si>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</si>
  <si>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</si>
  <si>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</si>
  <si>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</si>
  <si>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</si>
  <si>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</si>
  <si>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</si>
  <si>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</si>
  <si>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</si>
  <si>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</si>
  <si>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</si>
  <si>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</si>
  <si>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</si>
  <si>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</si>
  <si>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</si>
  <si>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</si>
  <si>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</si>
  <si>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</si>
  <si>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</si>
  <si>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</si>
  <si>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</si>
  <si>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</si>
  <si>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</si>
  <si>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</si>
  <si>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</si>
  <si>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</si>
  <si>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</si>
  <si>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</si>
  <si>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</si>
  <si>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</si>
  <si>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</si>
  <si>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</si>
  <si>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</si>
  <si>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</si>
  <si>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</si>
  <si>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</si>
  <si>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</si>
  <si>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</si>
  <si>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</si>
  <si>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</si>
  <si>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</si>
  <si>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</si>
  <si>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</si>
  <si>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</si>
  <si>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</si>
  <si>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</si>
  <si>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</si>
  <si>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</si>
  <si>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</si>
  <si>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</si>
  <si>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</si>
  <si>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</si>
  <si>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</si>
  <si>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</si>
  <si>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</si>
  <si>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</si>
  <si>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</si>
  <si>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</si>
  <si>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</si>
  <si>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</si>
  <si>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</si>
  <si>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</si>
  <si>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</si>
  <si>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</si>
  <si>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</si>
  <si>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</si>
  <si>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</si>
  <si>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</si>
  <si>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</si>
  <si>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</si>
  <si>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</si>
  <si>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</si>
  <si>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</si>
  <si>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</si>
  <si>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</si>
  <si>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</si>
  <si>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</si>
  <si>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</si>
  <si>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</si>
  <si>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</si>
  <si>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</si>
  <si>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</si>
  <si>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</si>
  <si>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</si>
  <si>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</si>
  <si>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</si>
  <si>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</si>
  <si>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</si>
  <si>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</si>
  <si>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</si>
  <si>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</si>
  <si>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</si>
  <si>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</si>
  <si>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</si>
  <si>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</si>
  <si>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</si>
  <si>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</si>
  <si>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</si>
  <si>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</si>
  <si>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</si>
  <si>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</si>
  <si>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</si>
  <si>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</si>
  <si>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</si>
  <si>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</si>
  <si>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</si>
  <si>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</si>
  <si>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</si>
  <si>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</si>
  <si>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</si>
  <si>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</si>
  <si>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</si>
  <si>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</si>
  <si>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</si>
  <si>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</si>
  <si>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</si>
  <si>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</si>
  <si>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</si>
  <si>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</si>
  <si>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</si>
  <si>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</si>
  <si>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</si>
  <si>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</si>
  <si>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</si>
  <si>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</si>
  <si>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</si>
  <si>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</si>
  <si>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</si>
  <si>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</si>
  <si>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</si>
  <si>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</si>
  <si>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</si>
  <si>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</si>
  <si>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</si>
  <si>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</si>
  <si>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</si>
  <si>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</si>
  <si>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</si>
  <si>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</si>
  <si>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</si>
  <si>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</si>
  <si>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</si>
  <si>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</si>
  <si>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</si>
  <si>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</si>
  <si>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</si>
  <si>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</si>
  <si>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</si>
  <si>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</si>
  <si>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</si>
  <si>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</si>
  <si>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</si>
  <si>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</si>
  <si>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</si>
  <si>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</si>
  <si>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</si>
  <si>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</si>
  <si>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</si>
  <si>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</si>
  <si>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</si>
  <si>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</si>
  <si>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</si>
  <si>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</si>
  <si>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</si>
  <si>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</si>
  <si>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</si>
  <si>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</si>
  <si>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</si>
  <si>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</si>
  <si>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</si>
  <si>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</si>
  <si>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</si>
  <si>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</si>
  <si>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</si>
  <si>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</si>
  <si>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</si>
  <si>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</si>
  <si>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</si>
  <si>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</si>
  <si>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</si>
  <si>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</si>
  <si>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</si>
  <si>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</si>
  <si>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</si>
  <si>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</si>
  <si>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</si>
  <si>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</si>
  <si>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</si>
  <si>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</si>
  <si>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</si>
  <si>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</si>
  <si>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</si>
  <si>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</si>
  <si>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</si>
  <si>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</si>
  <si>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</si>
  <si>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</si>
  <si>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</si>
  <si>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</si>
  <si>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</si>
  <si>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</si>
  <si>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</si>
  <si>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</si>
  <si>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</si>
  <si>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</si>
  <si>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</si>
  <si>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</si>
  <si>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</si>
  <si>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</si>
  <si>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</si>
  <si>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</si>
  <si>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</si>
  <si>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</si>
  <si>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</si>
  <si>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</si>
  <si>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</si>
  <si>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</si>
  <si>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</si>
  <si>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</si>
  <si>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</si>
  <si>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</si>
  <si>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</si>
  <si>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</si>
  <si>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</si>
  <si>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</si>
  <si>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</si>
  <si>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</si>
  <si>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</si>
  <si>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</si>
  <si>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</si>
  <si>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</si>
  <si>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</si>
  <si>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</si>
  <si>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</si>
  <si>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</si>
  <si>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</si>
  <si>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</si>
  <si>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</si>
  <si>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</si>
  <si>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</si>
  <si>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</si>
  <si>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</si>
  <si>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</si>
  <si>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</si>
  <si>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</si>
  <si>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</si>
  <si>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</si>
  <si>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</si>
  <si>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</si>
  <si>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</si>
  <si>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</si>
  <si>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</si>
  <si>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</si>
  <si>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</si>
  <si>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</si>
  <si>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</si>
  <si>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</si>
  <si>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</si>
  <si>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</si>
  <si>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</si>
  <si>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</si>
  <si>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</si>
  <si>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</si>
  <si>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</si>
  <si>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</si>
  <si>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</si>
  <si>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</si>
  <si>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</si>
  <si>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</si>
  <si>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</si>
  <si>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</si>
  <si>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</si>
  <si>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</si>
  <si>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</si>
  <si>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</si>
  <si>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</si>
  <si>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</si>
  <si>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</si>
  <si>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</si>
  <si>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</si>
  <si>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</si>
  <si>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</si>
  <si>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</si>
  <si>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</si>
  <si>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</si>
  <si>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</si>
  <si>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</si>
  <si>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</si>
  <si>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</si>
  <si>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</si>
  <si>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</si>
  <si>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</si>
  <si>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</si>
  <si>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</si>
  <si>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</si>
  <si>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</si>
  <si>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</si>
  <si>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</si>
  <si>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</si>
  <si>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</si>
  <si>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</si>
  <si>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</si>
  <si>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</si>
  <si>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</si>
  <si>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</si>
  <si>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</si>
  <si>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</si>
  <si>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</si>
  <si>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</si>
  <si>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</si>
  <si>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</si>
  <si>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</si>
  <si>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</si>
  <si>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</si>
  <si>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</si>
  <si>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</si>
  <si>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</si>
  <si>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</si>
  <si>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</si>
  <si>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</si>
  <si>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</si>
  <si>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</si>
  <si>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</si>
  <si>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</si>
  <si>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</si>
  <si>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</si>
  <si>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</si>
  <si>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</si>
  <si>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</si>
  <si>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</si>
  <si>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</si>
  <si>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</si>
  <si>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</si>
  <si>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</si>
  <si>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</si>
  <si>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</si>
  <si>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</si>
  <si>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</si>
  <si>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</si>
  <si>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</si>
  <si>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</si>
  <si>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</si>
  <si>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</si>
  <si>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</si>
  <si>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</si>
  <si>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</si>
  <si>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</si>
  <si>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</si>
  <si>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</si>
  <si>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</si>
  <si>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</si>
  <si>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</si>
  <si>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</si>
  <si>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</si>
  <si>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</si>
  <si>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</si>
  <si>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</si>
  <si>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</si>
  <si>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</si>
  <si>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</si>
  <si>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</si>
  <si>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</si>
  <si>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</si>
  <si>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</si>
  <si>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</si>
  <si>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</si>
  <si>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</si>
  <si>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</si>
  <si>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</si>
  <si>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</si>
  <si>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</si>
  <si>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</si>
  <si>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</si>
  <si>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</si>
  <si>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</si>
  <si>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</si>
  <si>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</si>
  <si>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</si>
  <si>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</si>
  <si>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</si>
  <si>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</si>
  <si>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</si>
  <si>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</si>
  <si>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</si>
  <si>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</si>
  <si>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</si>
  <si>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</si>
  <si>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</si>
  <si>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</si>
  <si>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</si>
  <si>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</si>
  <si>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</si>
  <si>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</si>
  <si>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</si>
  <si>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</si>
  <si>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</si>
  <si>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</si>
  <si>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</si>
  <si>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</si>
  <si>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</si>
  <si>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</si>
  <si>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</si>
  <si>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</si>
  <si>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</si>
  <si>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</si>
  <si>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</si>
  <si>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</si>
  <si>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</si>
  <si>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</si>
  <si>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</si>
  <si>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</si>
  <si>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</si>
  <si>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</si>
  <si>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</si>
  <si>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</si>
  <si>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</si>
  <si>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</si>
  <si>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</si>
  <si>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</si>
  <si>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</si>
  <si>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</si>
  <si>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</si>
  <si>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</si>
  <si>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</si>
  <si>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</si>
  <si>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</si>
  <si>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</si>
  <si>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</si>
  <si>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</si>
  <si>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</si>
  <si>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</si>
  <si>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</si>
  <si>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</si>
  <si>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</si>
  <si>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</si>
  <si>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</si>
  <si>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</si>
  <si>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</si>
  <si>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</si>
  <si>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</si>
  <si>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</si>
  <si>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</si>
  <si>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</si>
  <si>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</si>
  <si>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</si>
  <si>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</si>
  <si>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</si>
  <si>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</si>
  <si>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</si>
  <si>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</si>
  <si>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</si>
  <si>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</si>
  <si>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</si>
  <si>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</si>
  <si>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</si>
  <si>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</si>
  <si>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</si>
  <si>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</si>
  <si>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</si>
  <si>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</si>
  <si>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</si>
  <si>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</si>
  <si>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</si>
  <si>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</si>
  <si>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</si>
  <si>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</si>
  <si>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</si>
  <si>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</si>
  <si>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</si>
  <si>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</si>
  <si>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</si>
  <si>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</si>
  <si>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</si>
  <si>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</si>
  <si>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</si>
  <si>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</si>
  <si>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</si>
  <si>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</si>
  <si>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</si>
  <si>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</si>
  <si>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</si>
  <si>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</si>
  <si>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</si>
  <si>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</si>
  <si>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</si>
  <si>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</si>
  <si>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</si>
  <si>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</si>
  <si>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</si>
  <si>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</si>
  <si>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</si>
  <si>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</si>
  <si>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</si>
  <si>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</si>
  <si>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</si>
  <si>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</si>
  <si>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</si>
  <si>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</si>
  <si>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</si>
  <si>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</si>
  <si>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</si>
  <si>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</si>
  <si>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</si>
  <si>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</si>
  <si>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</si>
  <si>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</si>
  <si>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</si>
  <si>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</si>
  <si>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</si>
  <si>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</si>
  <si>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</si>
  <si>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</si>
  <si>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</si>
  <si>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</si>
  <si>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</si>
  <si>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</si>
  <si>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</si>
  <si>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</si>
  <si>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</si>
  <si>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</si>
  <si>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</si>
  <si>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</si>
  <si>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</si>
  <si>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</si>
  <si>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</si>
  <si>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</si>
  <si>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</si>
  <si>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</si>
  <si>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</si>
  <si>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</si>
  <si>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</si>
  <si>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</si>
  <si>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</si>
  <si>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</si>
  <si>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</si>
  <si>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</si>
  <si>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</si>
  <si>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</si>
  <si>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</si>
  <si>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</si>
  <si>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</si>
  <si>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</si>
  <si>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</si>
  <si>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</si>
  <si>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</si>
  <si>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</si>
  <si>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</si>
  <si>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</si>
  <si>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</si>
  <si>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</si>
  <si>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</si>
  <si>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</si>
  <si>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</si>
  <si>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</si>
  <si>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</si>
  <si>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</si>
  <si>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</si>
  <si>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</si>
  <si>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</si>
  <si>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</si>
  <si>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</si>
  <si>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</si>
  <si>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</si>
  <si>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</si>
  <si>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</si>
  <si>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</si>
  <si>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</si>
  <si>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</si>
  <si>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</si>
  <si>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</si>
  <si>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</si>
  <si>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</si>
  <si>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</si>
  <si>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</si>
  <si>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</si>
  <si>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</si>
  <si>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</si>
  <si>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</si>
  <si>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</si>
  <si>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</si>
  <si>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</si>
  <si>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</si>
  <si>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</si>
  <si>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</si>
  <si>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</si>
  <si>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</si>
  <si>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</si>
  <si>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</si>
  <si>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</si>
  <si>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</si>
  <si>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</si>
  <si>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</si>
  <si>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</si>
  <si>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</si>
  <si>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</si>
  <si>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</si>
  <si>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</si>
  <si>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</si>
  <si>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</si>
  <si>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</si>
  <si>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</si>
  <si>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</si>
  <si>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</si>
  <si>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</si>
  <si>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</si>
  <si>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</si>
  <si>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</si>
  <si>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</si>
  <si>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</si>
  <si>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</si>
  <si>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</si>
  <si>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</si>
  <si>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</si>
  <si>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</si>
  <si>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</si>
  <si>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</si>
  <si>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</si>
  <si>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</si>
  <si>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</si>
  <si>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</si>
  <si>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</si>
  <si>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</si>
  <si>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</si>
  <si>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</si>
  <si>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</si>
  <si>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</si>
  <si>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</si>
  <si>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</si>
  <si>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</si>
  <si>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</si>
  <si>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</si>
  <si>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</si>
  <si>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</si>
  <si>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</si>
  <si>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</si>
  <si>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</si>
  <si>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</si>
  <si>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</si>
  <si>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</si>
  <si>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</si>
  <si>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</si>
  <si>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</si>
  <si>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</si>
  <si>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</si>
  <si>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</si>
  <si>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</si>
  <si>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</si>
  <si>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</si>
  <si>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</si>
  <si>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</si>
  <si>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</si>
  <si>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</si>
  <si>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</si>
  <si>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</si>
  <si>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</si>
  <si>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</si>
  <si>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</si>
  <si>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</si>
  <si>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</si>
  <si>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</si>
  <si>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</si>
  <si>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</si>
  <si>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</si>
  <si>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</si>
  <si>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</si>
  <si>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</si>
  <si>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</si>
  <si>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</si>
  <si>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</si>
  <si>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</si>
  <si>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</si>
  <si>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</si>
  <si>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</si>
  <si>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</si>
  <si>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</si>
  <si>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</si>
  <si>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</si>
  <si>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</si>
  <si>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</si>
  <si>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</si>
  <si>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</si>
  <si>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</si>
  <si>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</si>
  <si>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</si>
  <si>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</si>
  <si>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</si>
  <si>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</si>
  <si>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</si>
  <si>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</si>
  <si>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</si>
  <si>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</si>
  <si>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</si>
  <si>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</si>
  <si>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</si>
  <si>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</si>
  <si>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</si>
  <si>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</si>
  <si>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</si>
  <si>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</si>
  <si>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</si>
  <si>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</si>
  <si>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</si>
  <si>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</si>
  <si>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</si>
  <si>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</si>
  <si>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</si>
  <si>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</si>
  <si>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</si>
  <si>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</si>
  <si>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</si>
  <si>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</si>
  <si>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</si>
  <si>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</si>
  <si>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</si>
  <si>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</si>
  <si>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</si>
  <si>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</si>
  <si>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</si>
  <si>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</si>
  <si>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</si>
  <si>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</si>
  <si>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</si>
  <si>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</si>
  <si>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</si>
  <si>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</si>
  <si>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</si>
  <si>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</si>
  <si>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</si>
  <si>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</si>
  <si>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</si>
  <si>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</si>
  <si>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</si>
  <si>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</si>
  <si>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</si>
  <si>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</si>
  <si>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</si>
  <si>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</si>
  <si>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</si>
  <si>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</si>
  <si>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</si>
  <si>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</si>
  <si>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</si>
  <si>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</si>
  <si>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</si>
  <si>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</si>
  <si>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</si>
  <si>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</si>
  <si>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</si>
  <si>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</si>
  <si>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</si>
  <si>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</si>
  <si>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</si>
  <si>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</si>
  <si>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</si>
  <si>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</si>
  <si>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</si>
  <si>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</si>
  <si>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</si>
  <si>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</si>
  <si>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</si>
  <si>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</si>
  <si>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</si>
  <si>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</si>
  <si>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</si>
  <si>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</si>
  <si>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</si>
  <si>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</si>
  <si>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</si>
  <si>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</si>
  <si>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</si>
  <si>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</si>
  <si>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</si>
  <si>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</si>
  <si>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</si>
  <si>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</si>
  <si>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</si>
  <si>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</si>
  <si>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</si>
  <si>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</si>
  <si>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</si>
  <si>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</si>
  <si>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</si>
  <si>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</si>
  <si>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</si>
  <si>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</si>
  <si>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</si>
  <si>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</si>
  <si>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</si>
  <si>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</si>
  <si>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</si>
  <si>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</si>
  <si>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</si>
  <si>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</si>
  <si>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</si>
  <si>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</si>
  <si>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</si>
  <si>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</si>
  <si>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</si>
  <si>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</si>
  <si>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</si>
  <si>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</si>
  <si>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</si>
  <si>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</si>
  <si>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</si>
  <si>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</si>
  <si>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</si>
  <si>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</si>
  <si>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</si>
  <si>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</si>
  <si>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</si>
  <si>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</si>
  <si>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</si>
  <si>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</si>
  <si>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</si>
  <si>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</si>
  <si>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</si>
  <si>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</si>
  <si>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</si>
  <si>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</si>
  <si>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</si>
  <si>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</si>
  <si>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</si>
  <si>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</si>
  <si>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</si>
  <si>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</si>
  <si>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</si>
  <si>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</si>
  <si>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</si>
  <si>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</si>
  <si>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</si>
  <si>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</si>
  <si>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</si>
  <si>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</si>
  <si>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</si>
  <si>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</si>
  <si>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</si>
  <si>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</si>
  <si>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</si>
  <si>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</si>
  <si>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</si>
  <si>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</si>
  <si>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</si>
  <si>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</si>
  <si>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</si>
  <si>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</si>
  <si>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</si>
  <si>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</si>
  <si>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</si>
  <si>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</si>
  <si>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</si>
  <si>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</si>
  <si>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</si>
  <si>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</si>
  <si>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</si>
  <si>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</si>
  <si>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</si>
  <si>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</si>
  <si>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</si>
  <si>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</si>
  <si>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</si>
  <si>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</si>
  <si>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</si>
  <si>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</si>
  <si>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</si>
  <si>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</si>
  <si>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</si>
  <si>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</si>
  <si>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</si>
  <si>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</si>
  <si>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</si>
  <si>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</si>
  <si>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</si>
  <si>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</si>
  <si>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</si>
  <si>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</si>
  <si>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</si>
  <si>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</si>
  <si>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</si>
  <si>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</si>
  <si>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</si>
  <si>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</si>
  <si>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</si>
  <si>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</si>
  <si>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</si>
  <si>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</si>
  <si>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</si>
  <si>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</si>
  <si>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</si>
  <si>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</si>
  <si>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</si>
  <si>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</si>
  <si>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</si>
  <si>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</si>
  <si>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</si>
  <si>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</si>
  <si>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</si>
  <si>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</si>
  <si>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</si>
  <si>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</si>
  <si>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</si>
  <si>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</si>
  <si>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</si>
  <si>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</si>
  <si>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</si>
  <si>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</si>
  <si>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</si>
  <si>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</si>
  <si>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</si>
  <si>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</si>
  <si>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</si>
  <si>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</si>
  <si>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</si>
  <si>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</si>
  <si>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</si>
  <si>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</si>
  <si>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</si>
  <si>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</si>
  <si>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</si>
  <si>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</si>
  <si>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</si>
  <si>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</si>
  <si>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</si>
  <si>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</si>
  <si>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</si>
  <si>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</si>
  <si>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</si>
  <si>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</si>
  <si>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</si>
  <si>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</si>
  <si>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</si>
  <si>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</si>
  <si>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</si>
  <si>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</si>
  <si>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</si>
  <si>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</si>
  <si>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</si>
  <si>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</si>
  <si>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</si>
  <si>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</si>
  <si>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</si>
  <si>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</si>
  <si>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</si>
  <si>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</si>
  <si>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</si>
  <si>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</si>
  <si>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</si>
  <si>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</si>
  <si>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</si>
  <si>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</si>
  <si>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</si>
  <si>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</si>
  <si>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</si>
  <si>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</si>
  <si>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</si>
  <si>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</si>
  <si>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</si>
  <si>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</si>
  <si>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</si>
  <si>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</si>
  <si>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</si>
  <si>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</si>
  <si>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</si>
  <si>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</si>
  <si>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</si>
  <si>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</si>
  <si>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</si>
  <si>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</si>
  <si>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</si>
  <si>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</si>
  <si>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</si>
  <si>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</si>
  <si>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</si>
  <si>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</si>
  <si>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</si>
  <si>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</si>
  <si>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</si>
  <si>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</si>
  <si>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</si>
  <si>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</si>
  <si>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</si>
  <si>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</si>
  <si>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</si>
  <si>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</si>
  <si>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</si>
  <si>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</si>
  <si>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</si>
  <si>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</si>
  <si>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</si>
  <si>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</si>
  <si>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</si>
  <si>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</si>
  <si>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</si>
  <si>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</si>
  <si>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</si>
  <si>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</si>
  <si>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</si>
  <si>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</si>
  <si>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</si>
  <si>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</si>
  <si>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</si>
  <si>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</si>
  <si>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</si>
  <si>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</si>
  <si>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</si>
  <si>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</si>
  <si>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</si>
  <si>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</si>
  <si>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</si>
  <si>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</si>
  <si>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</si>
  <si>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</si>
  <si>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</si>
  <si>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</si>
  <si>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</si>
  <si>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</si>
  <si>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</si>
  <si>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</si>
  <si>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</si>
  <si>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</si>
  <si>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</si>
  <si>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</si>
  <si>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</si>
  <si>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</si>
  <si>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</si>
  <si>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</si>
  <si>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</si>
  <si>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</si>
  <si>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</si>
  <si>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</si>
  <si>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</si>
  <si>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</si>
  <si>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</si>
  <si>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</si>
  <si>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</si>
  <si>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</si>
  <si>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</si>
  <si>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</si>
  <si>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</si>
  <si>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</si>
  <si>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</si>
  <si>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</si>
  <si>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</si>
  <si>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</si>
  <si>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</si>
  <si>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</si>
  <si>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</si>
  <si>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</si>
  <si>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</si>
  <si>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</si>
  <si>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</si>
  <si>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</si>
  <si>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</si>
  <si>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</si>
  <si>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</si>
  <si>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</si>
  <si>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</si>
  <si>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</si>
  <si>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</si>
  <si>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</si>
  <si>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</si>
  <si>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</si>
  <si>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</si>
  <si>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</si>
  <si>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</si>
  <si>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</si>
  <si>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</si>
  <si>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</si>
  <si>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</si>
  <si>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</si>
  <si>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</si>
  <si>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</si>
  <si>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</si>
  <si>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</si>
  <si>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</si>
  <si>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</si>
  <si>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</si>
  <si>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</si>
  <si>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</si>
  <si>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</si>
  <si>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</si>
  <si>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</si>
  <si>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</si>
  <si>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</si>
  <si>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</si>
  <si>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</si>
  <si>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</si>
  <si>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</si>
  <si>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</si>
  <si>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</si>
  <si>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</si>
  <si>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</si>
  <si>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</si>
  <si>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</si>
  <si>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</si>
  <si>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</si>
  <si>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</si>
  <si>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</si>
  <si>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</si>
  <si>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</si>
  <si>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</si>
  <si>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</si>
  <si>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</si>
  <si>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</si>
  <si>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</si>
  <si>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</si>
  <si>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</si>
  <si>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</si>
  <si>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</si>
  <si>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</si>
  <si>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</si>
  <si>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</si>
  <si>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</si>
  <si>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</si>
  <si>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</si>
  <si>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</si>
  <si>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</si>
  <si>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</si>
  <si>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</si>
  <si>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</si>
  <si>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</si>
  <si>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</si>
  <si>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</si>
  <si>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</si>
  <si>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</si>
  <si>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</si>
  <si>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</si>
  <si>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</si>
  <si>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</si>
  <si>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</si>
  <si>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</si>
  <si>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</si>
  <si>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</si>
  <si>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</si>
  <si>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</si>
  <si>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</si>
  <si>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</si>
  <si>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</si>
  <si>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</si>
  <si>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</si>
  <si>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</si>
  <si>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</si>
  <si>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</si>
  <si>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</si>
  <si>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</si>
  <si>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</si>
  <si>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</si>
  <si>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</si>
  <si>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</si>
  <si>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</si>
  <si>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</si>
  <si>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</si>
  <si>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</si>
  <si>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</si>
  <si>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</si>
  <si>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</si>
  <si>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</si>
  <si>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</si>
  <si>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</si>
  <si>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</si>
  <si>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</si>
  <si>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</si>
  <si>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</si>
  <si>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</si>
  <si>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</si>
  <si>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</si>
  <si>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</si>
  <si>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</si>
  <si>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</si>
  <si>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</si>
  <si>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</si>
  <si>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</si>
  <si>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</si>
  <si>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</si>
  <si>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</si>
  <si>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</si>
  <si>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</si>
  <si>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</si>
  <si>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</si>
  <si>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</si>
  <si>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</si>
  <si>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</si>
  <si>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</si>
  <si>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</si>
  <si>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</si>
  <si>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</si>
  <si>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</si>
  <si>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</si>
  <si>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</si>
  <si>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</si>
  <si>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</si>
  <si>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</si>
  <si>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</si>
  <si>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</si>
  <si>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</si>
  <si>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</si>
  <si>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</si>
  <si>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</si>
  <si>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</si>
  <si>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</si>
  <si>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</si>
  <si>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</si>
  <si>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</si>
  <si>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</si>
  <si>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</si>
  <si>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</si>
  <si>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</si>
  <si>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</si>
  <si>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</si>
  <si>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</si>
  <si>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</si>
  <si>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</si>
  <si>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</si>
  <si>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</si>
  <si>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</si>
  <si>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</si>
  <si>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</si>
  <si>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</si>
  <si>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</si>
  <si>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</si>
  <si>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KYOCERA AVX CORPORATION</t>
  </si>
  <si>
    <t xml:space="preserve">Company Level, suppliers responding are reported at a company level </t>
  </si>
  <si>
    <t>05-889-5921</t>
  </si>
  <si>
    <t>DUNS</t>
  </si>
  <si>
    <t>1 AVX BLVD FOUNTAIN INN, SC 29644</t>
  </si>
  <si>
    <t>cindy dodd</t>
  </si>
  <si>
    <t>cindy.dodd@kyocera-avx.com</t>
  </si>
  <si>
    <t>8649679385</t>
  </si>
  <si>
    <t>Global Compliance Sr Manager</t>
  </si>
  <si>
    <t>Due Diligence ongoing</t>
  </si>
  <si>
    <t>https://www.kyocera-avx.com/docs/corporate/Responsible-Minerals-Sourcing-Policy.pdf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</si>
</sst>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yocera-avx.com/docs/corporate/Responsible-Minerals-Sourcing-Policy.pdf" TargetMode="External"/><Relationship Id="rId2" Type="http://schemas.openxmlformats.org/officeDocument/2006/relationships/hyperlink" Target="mailto:cindy.dodd@kyocera-avx.com" TargetMode="External"/><Relationship Id="rId1" Type="http://schemas.openxmlformats.org/officeDocument/2006/relationships/hyperlink" Target="mailto:cindy.dodd@kyocera-avx.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B58488AE-AF6C-4D6C-97F7-D465EECE1CD6}"/>
    </customSheetView>
    <customSheetView guid="{C59130F4-2E03-5E48-94CE-6E4A0484DB9E}" showAutoFilter="1">
      <selection activeCell="C1" sqref="C1:D65536"/>
      <pageMargins left="0" right="0" top="0" bottom="0" header="0" footer="0"/>
      <pageSetup orientation="portrait"/>
      <headerFooter alignWithMargins="0"/>
      <autoFilter ref="B1:C1" xr:uid="{54F16750-A607-43D1-8956-D0526D00651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4"/>
      <c r="B1" s="345"/>
      <c r="C1" s="345"/>
      <c r="D1" s="345"/>
      <c r="E1" s="345"/>
      <c r="F1" s="345"/>
      <c r="G1" s="345"/>
      <c r="H1" s="345"/>
      <c r="I1" s="345"/>
      <c r="J1" s="345"/>
      <c r="K1" s="346"/>
      <c r="L1" s="103"/>
      <c r="P1" s="3"/>
      <c r="Q1" s="3"/>
      <c r="R1" s="3"/>
      <c r="S1" s="3"/>
      <c r="T1" s="3"/>
      <c r="U1" s="3"/>
      <c r="V1" s="3"/>
      <c r="W1" s="3"/>
      <c r="X1" s="3"/>
      <c r="Y1" s="3"/>
      <c r="Z1" s="3"/>
      <c r="AA1" s="3"/>
      <c r="AB1" s="3"/>
      <c r="AC1" s="3"/>
      <c r="AD1" s="3"/>
      <c r="AE1" s="3"/>
      <c r="AF1" s="3"/>
      <c r="AG1" s="3"/>
      <c r="AH1" s="3"/>
    </row>
    <row r="2" spans="1:34" ht="81.75" customHeight="1">
      <c r="A2" s="28"/>
      <c r="B2" s="304"/>
      <c r="C2" s="29"/>
      <c r="D2" s="347" t="str">
        <f ca="1">OFFSET(L!$C$1,MATCH("Declaration"&amp;ADDRESS(ROW(),COLUMN(),4),L!$A:$A,0)-1,SL,,)</f>
        <v>Extended Mineral Reporting Template (EMRT)</v>
      </c>
      <c r="E2" s="348"/>
      <c r="F2" s="348"/>
      <c r="G2" s="348"/>
      <c r="H2" s="348"/>
      <c r="I2" s="348"/>
      <c r="J2" s="34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6" t="str">
        <f ca="1">OFFSET(L!$C$1,MATCH("Declaration"&amp;ADDRESS(ROW(),COLUMN(),4),L!$A:$A,0)-1,SL,,)</f>
        <v>The purpose of this document is to collect sourcing information on cobalt or natural mica.</v>
      </c>
      <c r="C4" s="356"/>
      <c r="D4" s="356"/>
      <c r="E4" s="356"/>
      <c r="F4" s="356"/>
      <c r="G4" s="356"/>
      <c r="H4" s="356"/>
      <c r="I4" s="360" t="str">
        <f ca="1">OFFSET(L!$C$1,MATCH("Declaration"&amp;ADDRESS(ROW(),COLUMN(),4),L!$A:$A,0)-1,SL,,)</f>
        <v>Link to Terms &amp; Conditions</v>
      </c>
      <c r="J4" s="360"/>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0"/>
      <c r="L6" s="105" t="s">
        <v>18</v>
      </c>
      <c r="P6" s="3"/>
      <c r="Q6" s="3"/>
      <c r="R6" s="3"/>
      <c r="S6" s="3"/>
      <c r="T6" s="3"/>
      <c r="U6" s="3"/>
      <c r="V6" s="3"/>
      <c r="W6" s="3"/>
      <c r="X6" s="3"/>
      <c r="Y6" s="3"/>
      <c r="Z6" s="3"/>
      <c r="AA6" s="3"/>
      <c r="AB6" s="3"/>
      <c r="AC6" s="3"/>
      <c r="AD6" s="3"/>
      <c r="AE6" s="3"/>
      <c r="AF6" s="3"/>
      <c r="AG6" s="3"/>
      <c r="AH6" s="3"/>
    </row>
    <row r="7" spans="1:34" ht="15.75">
      <c r="A7" s="28"/>
      <c r="B7" s="361" t="str">
        <f ca="1">OFFSET(L!$C$1,MATCH("Declaration"&amp;ADDRESS(ROW(),COLUMN(),4),L!$A:$A,0)-1,SL,,)</f>
        <v>Company Information</v>
      </c>
      <c r="C7" s="361"/>
      <c r="D7" s="361"/>
      <c r="E7" s="361"/>
      <c r="F7" s="361"/>
      <c r="G7" s="361"/>
      <c r="H7" s="361"/>
      <c r="I7" s="361"/>
      <c r="J7" s="36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0" t="s">
        <v>19202</v>
      </c>
      <c r="E8" s="351"/>
      <c r="F8" s="351"/>
      <c r="G8" s="351"/>
      <c r="H8" s="351"/>
      <c r="I8" s="351"/>
      <c r="J8" s="352"/>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0" t="s">
        <v>21</v>
      </c>
      <c r="E9" s="371"/>
      <c r="F9" s="371"/>
      <c r="G9" s="372"/>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2" t="str">
        <f ca="1">OFFSET(L!$C$1,MATCH("Declaration"&amp;ADDRESS(ROW(),COLUMN(),4)&amp;LEFT($D$9,1),L!$A:$A,0)-1,SL,,)</f>
        <v>Description of Scope: (*)</v>
      </c>
      <c r="C10" s="113"/>
      <c r="D10" s="357" t="s">
        <v>19203</v>
      </c>
      <c r="E10" s="358"/>
      <c r="F10" s="358"/>
      <c r="G10" s="358"/>
      <c r="H10" s="358"/>
      <c r="I10" s="358"/>
      <c r="J10" s="359"/>
      <c r="K10" s="30"/>
      <c r="L10" s="105"/>
      <c r="Q10" s="3"/>
      <c r="R10" s="3"/>
      <c r="S10" s="3"/>
      <c r="T10" s="3"/>
      <c r="U10" s="3"/>
      <c r="V10" s="3"/>
      <c r="W10" s="3"/>
      <c r="X10" s="3"/>
      <c r="Y10" s="3"/>
      <c r="Z10" s="3"/>
      <c r="AA10" s="3"/>
      <c r="AB10" s="3"/>
      <c r="AC10" s="3"/>
      <c r="AD10" s="3"/>
      <c r="AE10" s="3"/>
      <c r="AF10" s="3"/>
      <c r="AG10" s="3"/>
      <c r="AH10" s="3"/>
    </row>
    <row r="11" spans="1:34" ht="15.75">
      <c r="A11" s="32"/>
      <c r="B11" s="363"/>
      <c r="C11" s="113"/>
      <c r="D11" s="364" t="str">
        <f ca="1">IF(D9=Q9,OFFSET(L!$C$1,MATCH("Declaration"&amp;ADDRESS(ROW(),COLUMN(),4),L!$A:$A,0)-1,SL,,),"")</f>
        <v/>
      </c>
      <c r="E11" s="365"/>
      <c r="F11" s="365"/>
      <c r="G11" s="365"/>
      <c r="H11" s="365"/>
      <c r="I11" s="365"/>
      <c r="J11" s="36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19204</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19205</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5" t="s">
        <v>19208</v>
      </c>
      <c r="E16" s="342"/>
      <c r="F16" s="342"/>
      <c r="G16" s="342"/>
      <c r="H16" s="342"/>
      <c r="I16" s="342"/>
      <c r="J16" s="34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19208</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5" t="s">
        <v>19208</v>
      </c>
      <c r="E20" s="342"/>
      <c r="F20" s="342"/>
      <c r="G20" s="342"/>
      <c r="H20" s="342"/>
      <c r="I20" s="342"/>
      <c r="J20" s="34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6">
        <v>45415</v>
      </c>
      <c r="E22" s="377"/>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9"/>
      <c r="E23" s="36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5" t="str">
        <f ca="1">OFFSET(L!$C$1,MATCH("Declaration"&amp;ADDRESS(ROW(),COLUMN(),4),L!$A:$A,0)-1,SL,,)</f>
        <v>Answer</v>
      </c>
      <c r="E25" s="375"/>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26</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3" t="s">
        <v>22</v>
      </c>
      <c r="E29" s="374"/>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7" t="str">
        <f ca="1">D25</f>
        <v>Answer</v>
      </c>
      <c r="E31" s="367"/>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7" t="str">
        <f ca="1">D25</f>
        <v>Answer</v>
      </c>
      <c r="E37" s="367"/>
      <c r="F37" s="15"/>
      <c r="G37" s="38" t="str">
        <f ca="1">G25</f>
        <v>Comments</v>
      </c>
      <c r="H37" s="368"/>
      <c r="I37" s="368"/>
      <c r="J37" s="368"/>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26</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7" t="str">
        <f ca="1">D25</f>
        <v>Answer</v>
      </c>
      <c r="E43" s="367"/>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7" t="str">
        <f ca="1">D25</f>
        <v>Answer</v>
      </c>
      <c r="E49" s="367"/>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31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7" t="str">
        <f ca="1">D25</f>
        <v>Answer</v>
      </c>
      <c r="E55" s="367"/>
      <c r="F55" s="15"/>
      <c r="G55" s="38" t="str">
        <f ca="1">G25</f>
        <v>Comments</v>
      </c>
      <c r="H55" s="378"/>
      <c r="I55" s="378"/>
      <c r="J55" s="378"/>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1" t="s">
        <v>26</v>
      </c>
      <c r="E56" s="382"/>
      <c r="F56" s="41"/>
      <c r="G56" s="329" t="s">
        <v>19211</v>
      </c>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7" t="str">
        <f ca="1">D25</f>
        <v>Answer</v>
      </c>
      <c r="E61" s="367"/>
      <c r="F61" s="15"/>
      <c r="G61" s="38" t="str">
        <f ca="1">G25</f>
        <v>Comments</v>
      </c>
      <c r="H61" s="378" t="str">
        <f>IF(Q69="(*)","Click here to enter smelter names","")</f>
        <v/>
      </c>
      <c r="I61" s="378"/>
      <c r="J61" s="378"/>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7" t="str">
        <f ca="1">OFFSET(L!$C$1,MATCH("Declaration"&amp;ADDRESS(ROW(),COLUMN(),4),L!$A:$A,0)-1,SL,,)</f>
        <v>Answer the Following Questions at a Company Level</v>
      </c>
      <c r="C67" s="387"/>
      <c r="D67" s="387"/>
      <c r="E67" s="387"/>
      <c r="F67" s="387"/>
      <c r="G67" s="387"/>
      <c r="H67" s="387"/>
      <c r="I67" s="387"/>
      <c r="J67" s="38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5" t="str">
        <f ca="1">D25</f>
        <v>Answer</v>
      </c>
      <c r="E68" s="375"/>
      <c r="F68" s="47"/>
      <c r="G68" s="375" t="str">
        <f ca="1">G25</f>
        <v>Comments</v>
      </c>
      <c r="H68" s="375" t="e">
        <f>HLOOKUP(SL,LT,$O68,0)</f>
        <v>#NAME?</v>
      </c>
      <c r="I68" s="37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0"/>
      <c r="H70" s="380"/>
      <c r="I70" s="380"/>
      <c r="J70" s="38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406" t="s">
        <v>19212</v>
      </c>
      <c r="H71" s="391"/>
      <c r="I71" s="391"/>
      <c r="J71" s="392"/>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6"/>
      <c r="E73" s="386"/>
      <c r="F73" s="236"/>
      <c r="G73" s="379"/>
      <c r="H73" s="379"/>
      <c r="I73" s="379"/>
      <c r="J73" s="379"/>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8" t="s">
        <v>34</v>
      </c>
      <c r="E79" s="389"/>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0"/>
      <c r="H80" s="380"/>
      <c r="I80" s="380"/>
      <c r="J80" s="38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0"/>
      <c r="H82" s="390"/>
      <c r="I82" s="390"/>
      <c r="J82" s="390"/>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5" t="str">
        <f>IF(OR($D$8="",$I$3=""),"","Click here to check required fields completion")</f>
        <v/>
      </c>
      <c r="C84" s="385"/>
      <c r="D84" s="385"/>
      <c r="E84" s="385"/>
      <c r="F84" s="385"/>
      <c r="G84" s="385"/>
      <c r="H84" s="385"/>
      <c r="I84" s="385"/>
      <c r="J84" s="385"/>
      <c r="K84" s="30"/>
      <c r="L84" s="103"/>
      <c r="P84" s="3"/>
      <c r="Q84" s="3"/>
      <c r="R84" s="3"/>
      <c r="S84" s="3"/>
      <c r="T84" s="3"/>
      <c r="U84" s="3"/>
      <c r="V84" s="3"/>
      <c r="W84" s="3"/>
      <c r="X84" s="3"/>
      <c r="Y84" s="3">
        <v>86</v>
      </c>
      <c r="Z84" s="3"/>
      <c r="AA84" s="3"/>
      <c r="AB84" s="3"/>
      <c r="AC84" s="3"/>
      <c r="AD84" s="3"/>
      <c r="AE84" s="3"/>
      <c r="AF84" s="3"/>
      <c r="AG84" s="3"/>
      <c r="AH84" s="3"/>
    </row>
    <row r="85" spans="1:34" ht="15.75" thickBot="1">
      <c r="A85" s="383" t="str">
        <f ca="1">OFFSET(L!$C$1,MATCH("General"&amp;"Cpy",L!$A:$A,0)-1,SL,,)</f>
        <v>© 2024 Responsible Minerals Initiative. All rights reserved.</v>
      </c>
      <c r="B85" s="384"/>
      <c r="C85" s="384"/>
      <c r="D85" s="384"/>
      <c r="E85" s="384"/>
      <c r="F85" s="384"/>
      <c r="G85" s="384"/>
      <c r="H85" s="384"/>
      <c r="I85" s="384"/>
      <c r="J85" s="38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0AFA335-029E-488E-8C94-0321762B31F7}"/>
    <hyperlink ref="D20" r:id="rId2" xr:uid="{9BD94655-EAB7-4AA3-8882-80CE2F509D51}"/>
    <hyperlink ref="G71" r:id="rId3" xr:uid="{C0B9AC0D-8D41-43EC-A2B1-D91C394BBC2C}"/>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A4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6"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0.25">
      <c r="A6" s="200" t="s">
        <v>191</v>
      </c>
      <c r="B6" s="150" t="str">
        <f ca="1">IF(LEN(A6)=0,"",INDEX('Smelter Look-up'!$A:$A,MATCH($A6,'Smelter Look-up'!$E:$E,0)))</f>
        <v>Cobalt</v>
      </c>
      <c r="C6" s="153" t="str">
        <f ca="1">IF(LEN(A6)=0,"",INDEX('Smelter Look-up'!$C:$C,MATCH($A6,'Smelter Look-up'!$E:$E,0)))</f>
        <v>Lanzhou Jinchuan Advanced Materials Technology Co., Ltd.</v>
      </c>
      <c r="D6" s="150"/>
      <c r="E6" s="150" t="str">
        <f ca="1">IF(ISERROR($V6),"",OFFSET('Smelter Look-up'!$D$4,$V6-4,0)&amp;"")</f>
        <v>CHINA</v>
      </c>
      <c r="F6" s="150" t="str">
        <f ca="1">IF(ISERROR($V6),"",OFFSET('Smelter Look-up'!$E$4,$V6-4,0))</f>
        <v>CID003210</v>
      </c>
      <c r="G6" s="150" t="str">
        <f ca="1">IF(C6=$X$4,"Enter smelter details",IF(ISERROR($V6),"",OFFSET('Smelter Look-up'!$F$4,$V6-4,0)))</f>
        <v>RMI</v>
      </c>
      <c r="H6" s="208">
        <f ca="1">IF(ISERROR($V6),"",OFFSET('Smelter Look-up'!$G$4,$V6-4,0))</f>
        <v>0</v>
      </c>
      <c r="I6" s="209" t="str">
        <f ca="1">IF(ISERROR($V6),"",OFFSET('Smelter Look-up'!$H$4,$V6-4,0))</f>
        <v>Lanzhou</v>
      </c>
      <c r="J6" s="209" t="str">
        <f ca="1">IF(ISERROR($V6),"",OFFSET('Smelter Look-up'!$I$4,$V6-4,0))</f>
        <v>Gansu Sheng</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 ca="1">IF(C6="",NA(),MATCH($B6&amp;$C6,'Smelter Look-up'!$J:$J,0))</f>
        <v>74</v>
      </c>
      <c r="X6" s="171">
        <f t="shared" ca="1" si="1"/>
        <v>0</v>
      </c>
      <c r="AB6" s="171" t="str">
        <f t="shared" ca="1" si="2"/>
        <v>CobaltLanzhou Jinchuan Advanced Materials Technology Co., Ltd.</v>
      </c>
    </row>
    <row r="7" spans="1:34" s="171" customFormat="1" ht="20.25">
      <c r="A7" s="200" t="s">
        <v>116</v>
      </c>
      <c r="B7" s="150" t="str">
        <f ca="1">IF(LEN(A7)=0,"",INDEX('Smelter Look-up'!$A:$A,MATCH($A7,'Smelter Look-up'!$E:$E,0)))</f>
        <v>Cobalt</v>
      </c>
      <c r="C7" s="153" t="str">
        <f ca="1">IF(LEN(A7)=0,"",INDEX('Smelter Look-up'!$C:$C,MATCH($A7,'Smelter Look-up'!$E:$E,0)))</f>
        <v>Ganzhou Tengyuan Cobalt New Material Co., Ltd.</v>
      </c>
      <c r="D7" s="150"/>
      <c r="E7" s="150" t="str">
        <f ca="1">IF(ISERROR($V7),"",OFFSET('Smelter Look-up'!$D$4,$V7-4,0)&amp;"")</f>
        <v>CHINA</v>
      </c>
      <c r="F7" s="150" t="str">
        <f ca="1">IF(ISERROR($V7),"",OFFSET('Smelter Look-up'!$E$4,$V7-4,0))</f>
        <v>CID003212</v>
      </c>
      <c r="G7" s="150" t="str">
        <f ca="1">IF(C7=$X$4,"Enter smelter details",IF(ISERROR($V7),"",OFFSET('Smelter Look-up'!$F$4,$V7-4,0)))</f>
        <v>RMI</v>
      </c>
      <c r="H7" s="208">
        <f ca="1">IF(ISERROR($V7),"",OFFSET('Smelter Look-up'!$G$4,$V7-4,0))</f>
        <v>0</v>
      </c>
      <c r="I7" s="209" t="str">
        <f ca="1">IF(ISERROR($V7),"",OFFSET('Smelter Look-up'!$H$4,$V7-4,0))</f>
        <v>Ganzhou</v>
      </c>
      <c r="J7" s="209" t="str">
        <f ca="1">IF(ISERROR($V7),"",OFFSET('Smelter Look-up'!$I$4,$V7-4,0))</f>
        <v>Jiangxi Sheng</v>
      </c>
      <c r="K7" s="151"/>
      <c r="L7" s="151"/>
      <c r="M7" s="151"/>
      <c r="N7" s="151"/>
      <c r="O7" s="151"/>
      <c r="P7" s="211"/>
      <c r="Q7" s="152"/>
      <c r="R7" s="150" t="str">
        <f ca="1">IF(ISERROR($V7),"",OFFSET('Smelter Look-up'!$C$4,$V7-4,0)&amp;"")</f>
        <v>Ganzhou Tengyuan Cobalt New Material Co., Ltd.</v>
      </c>
      <c r="S7" s="156" t="str">
        <f t="shared" ca="1" si="0"/>
        <v>CN</v>
      </c>
      <c r="T7" s="156" t="str">
        <f ca="1">IF(B7="","",IF(ISERROR(MATCH($J7,SorP!$B$1:$B$6226,0)),"",INDIRECT("'SorP'!$A$"&amp;MATCH($S7&amp;$J7,SorP!C:C,0))))</f>
        <v>CN-JX</v>
      </c>
      <c r="U7" s="169"/>
      <c r="V7" s="170">
        <f ca="1">IF(C7="",NA(),MATCH($B7&amp;$C7,'Smelter Look-up'!$J:$J,0))</f>
        <v>29</v>
      </c>
      <c r="X7" s="171">
        <f t="shared" ca="1" si="1"/>
        <v>0</v>
      </c>
      <c r="AB7" s="171" t="str">
        <f t="shared" ca="1" si="2"/>
        <v>CobaltGanzhou Tengyuan Cobalt New Material Co., Ltd.</v>
      </c>
    </row>
    <row r="8" spans="1:34" s="171" customFormat="1" ht="20.25">
      <c r="A8" s="200" t="s">
        <v>130</v>
      </c>
      <c r="B8" s="150" t="str">
        <f ca="1">IF(LEN(A8)=0,"",INDEX('Smelter Look-up'!$A:$A,MATCH($A8,'Smelter Look-up'!$E:$E,0)))</f>
        <v>Cobalt</v>
      </c>
      <c r="C8" s="153" t="str">
        <f ca="1">IF(LEN(A8)=0,"",INDEX('Smelter Look-up'!$C:$C,MATCH($A8,'Smelter Look-up'!$E:$E,0)))</f>
        <v>Guangxi Yinyi Advanced Material Co., Ltd.</v>
      </c>
      <c r="D8" s="150"/>
      <c r="E8" s="150" t="str">
        <f ca="1">IF(ISERROR($V8),"",OFFSET('Smelter Look-up'!$D$4,$V8-4,0)&amp;"")</f>
        <v>CHINA</v>
      </c>
      <c r="F8" s="150" t="str">
        <f ca="1">IF(ISERROR($V8),"",OFFSET('Smelter Look-up'!$E$4,$V8-4,0))</f>
        <v>CID003213</v>
      </c>
      <c r="G8" s="150" t="str">
        <f ca="1">IF(C8=$X$4,"Enter smelter details",IF(ISERROR($V8),"",OFFSET('Smelter Look-up'!$F$4,$V8-4,0)))</f>
        <v>RMI</v>
      </c>
      <c r="H8" s="208">
        <f ca="1">IF(ISERROR($V8),"",OFFSET('Smelter Look-up'!$G$4,$V8-4,0))</f>
        <v>0</v>
      </c>
      <c r="I8" s="209" t="str">
        <f ca="1">IF(ISERROR($V8),"",OFFSET('Smelter Look-up'!$H$4,$V8-4,0))</f>
        <v>Yulin</v>
      </c>
      <c r="J8" s="209" t="str">
        <f ca="1">IF(ISERROR($V8),"",OFFSET('Smelter Look-up'!$I$4,$V8-4,0))</f>
        <v>Guangxi Zhuangzu Zizhiqu</v>
      </c>
      <c r="K8" s="151"/>
      <c r="L8" s="151"/>
      <c r="M8" s="151"/>
      <c r="N8" s="151"/>
      <c r="O8" s="151"/>
      <c r="P8" s="211"/>
      <c r="Q8" s="152"/>
      <c r="R8" s="150" t="str">
        <f ca="1">IF(ISERROR($V8),"",OFFSET('Smelter Look-up'!$C$4,$V8-4,0)&amp;"")</f>
        <v>Guangxi Yinyi Advanced Material Co., Ltd.</v>
      </c>
      <c r="S8" s="156" t="str">
        <f t="shared" ca="1" si="0"/>
        <v>CN</v>
      </c>
      <c r="T8" s="156" t="str">
        <f ca="1">IF(B8="","",IF(ISERROR(MATCH($J8,SorP!$B$1:$B$6226,0)),"",INDIRECT("'SorP'!$A$"&amp;MATCH($S8&amp;$J8,SorP!C:C,0))))</f>
        <v>CN-GX</v>
      </c>
      <c r="U8" s="169"/>
      <c r="V8" s="170">
        <f ca="1">IF(C8="",NA(),MATCH($B8&amp;$C8,'Smelter Look-up'!$J:$J,0))</f>
        <v>35</v>
      </c>
      <c r="X8" s="171">
        <f t="shared" ca="1" si="1"/>
        <v>0</v>
      </c>
      <c r="AB8" s="171" t="str">
        <f t="shared" ca="1" si="2"/>
        <v>CobaltGuangxi Yinyi Advanced Material Co., Ltd.</v>
      </c>
    </row>
    <row r="9" spans="1:34" s="171" customFormat="1" ht="20.25">
      <c r="A9" s="200" t="s">
        <v>201</v>
      </c>
      <c r="B9" s="150" t="str">
        <f ca="1">IF(LEN(A9)=0,"",INDEX('Smelter Look-up'!$A:$A,MATCH($A9,'Smelter Look-up'!$E:$E,0)))</f>
        <v>Cobalt</v>
      </c>
      <c r="C9" s="153" t="str">
        <f ca="1">IF(LEN(A9)=0,"",INDEX('Smelter Look-up'!$C:$C,MATCH($A9,'Smelter Look-up'!$E:$E,0)))</f>
        <v>Tianjin Maolian Science &amp; Technology Co., Ltd.</v>
      </c>
      <c r="D9" s="150"/>
      <c r="E9" s="150" t="str">
        <f ca="1">IF(ISERROR($V9),"",OFFSET('Smelter Look-up'!$D$4,$V9-4,0)&amp;"")</f>
        <v>CHINA</v>
      </c>
      <c r="F9" s="150" t="str">
        <f ca="1">IF(ISERROR($V9),"",OFFSET('Smelter Look-up'!$E$4,$V9-4,0))</f>
        <v>CID003215</v>
      </c>
      <c r="G9" s="150" t="str">
        <f ca="1">IF(C9=$X$4,"Enter smelter details",IF(ISERROR($V9),"",OFFSET('Smelter Look-up'!$F$4,$V9-4,0)))</f>
        <v>RMI</v>
      </c>
      <c r="H9" s="208">
        <f ca="1">IF(ISERROR($V9),"",OFFSET('Smelter Look-up'!$G$4,$V9-4,0))</f>
        <v>0</v>
      </c>
      <c r="I9" s="209" t="str">
        <f ca="1">IF(ISERROR($V9),"",OFFSET('Smelter Look-up'!$H$4,$V9-4,0))</f>
        <v>Tianjin</v>
      </c>
      <c r="J9" s="209" t="str">
        <f ca="1">IF(ISERROR($V9),"",OFFSET('Smelter Look-up'!$I$4,$V9-4,0))</f>
        <v>Tianjin Shi</v>
      </c>
      <c r="K9" s="151"/>
      <c r="L9" s="151"/>
      <c r="M9" s="151"/>
      <c r="N9" s="151"/>
      <c r="O9" s="151"/>
      <c r="P9" s="211"/>
      <c r="Q9" s="152"/>
      <c r="R9" s="150" t="str">
        <f ca="1">IF(ISERROR($V9),"",OFFSET('Smelter Look-up'!$C$4,$V9-4,0)&amp;"")</f>
        <v>Tianjin Maolian Science &amp; Technology Co., Ltd.</v>
      </c>
      <c r="S9" s="156" t="str">
        <f t="shared" ca="1" si="0"/>
        <v>CN</v>
      </c>
      <c r="T9" s="156" t="str">
        <f ca="1">IF(B9="","",IF(ISERROR(MATCH($J9,SorP!$B$1:$B$6226,0)),"",INDIRECT("'SorP'!$A$"&amp;MATCH($S9&amp;$J9,SorP!C:C,0))))</f>
        <v>CN-TJ</v>
      </c>
      <c r="U9" s="169"/>
      <c r="V9" s="170">
        <f ca="1">IF(C9="",NA(),MATCH($B9&amp;$C9,'Smelter Look-up'!$J:$J,0))</f>
        <v>137</v>
      </c>
      <c r="X9" s="171">
        <f t="shared" ca="1" si="1"/>
        <v>0</v>
      </c>
      <c r="AB9" s="171" t="str">
        <f t="shared" ca="1" si="2"/>
        <v>CobaltTianjin Maolian Science &amp; Technology Co., Ltd.</v>
      </c>
    </row>
    <row r="10" spans="1:34" s="171" customFormat="1" ht="20.25">
      <c r="A10" s="200" t="s">
        <v>314</v>
      </c>
      <c r="B10" s="150" t="str">
        <f ca="1">IF(LEN(A10)=0,"",INDEX('Smelter Look-up'!$A:$A,MATCH($A10,'Smelter Look-up'!$E:$E,0)))</f>
        <v>Cobalt</v>
      </c>
      <c r="C10" s="153" t="str">
        <f ca="1">IF(LEN(A10)=0,"",INDEX('Smelter Look-up'!$C:$C,MATCH($A10,'Smelter Look-up'!$E:$E,0)))</f>
        <v>Zhejiang Huayou Cobalt Company Limited</v>
      </c>
      <c r="D10" s="150"/>
      <c r="E10" s="150" t="str">
        <f ca="1">IF(ISERROR($V10),"",OFFSET('Smelter Look-up'!$D$4,$V10-4,0)&amp;"")</f>
        <v>CHINA</v>
      </c>
      <c r="F10" s="150" t="str">
        <f ca="1">IF(ISERROR($V10),"",OFFSET('Smelter Look-up'!$E$4,$V10-4,0))</f>
        <v>CID003225</v>
      </c>
      <c r="G10" s="150" t="str">
        <f ca="1">IF(C10=$X$4,"Enter smelter details",IF(ISERROR($V10),"",OFFSET('Smelter Look-up'!$F$4,$V10-4,0)))</f>
        <v>RMI</v>
      </c>
      <c r="H10" s="208">
        <f ca="1">IF(ISERROR($V10),"",OFFSET('Smelter Look-up'!$G$4,$V10-4,0))</f>
        <v>0</v>
      </c>
      <c r="I10" s="209" t="str">
        <f ca="1">IF(ISERROR($V10),"",OFFSET('Smelter Look-up'!$H$4,$V10-4,0))</f>
        <v>Tongxiang</v>
      </c>
      <c r="J10" s="209" t="str">
        <f ca="1">IF(ISERROR($V10),"",OFFSET('Smelter Look-up'!$I$4,$V10-4,0))</f>
        <v>Zhejiang Sheng</v>
      </c>
      <c r="K10" s="151"/>
      <c r="L10" s="151"/>
      <c r="M10" s="151"/>
      <c r="N10" s="151"/>
      <c r="O10" s="151"/>
      <c r="P10" s="211"/>
      <c r="Q10" s="152"/>
      <c r="R10" s="150" t="str">
        <f ca="1">IF(ISERROR($V10),"",OFFSET('Smelter Look-up'!$C$4,$V10-4,0)&amp;"")</f>
        <v>Zhejiang Huayou Cobalt Company Limited</v>
      </c>
      <c r="S10" s="156" t="str">
        <f t="shared" ca="1" si="0"/>
        <v>CN</v>
      </c>
      <c r="T10" s="156" t="str">
        <f ca="1">IF(B10="","",IF(ISERROR(MATCH($J10,SorP!$B$1:$B$6226,0)),"",INDIRECT("'SorP'!$A$"&amp;MATCH($S10&amp;$J10,SorP!C:C,0))))</f>
        <v>CN-ZJ</v>
      </c>
      <c r="U10" s="169"/>
      <c r="V10" s="170">
        <f ca="1">IF(C10="",NA(),MATCH($B10&amp;$C10,'Smelter Look-up'!$J:$J,0))</f>
        <v>151</v>
      </c>
      <c r="X10" s="171">
        <f t="shared" ca="1" si="1"/>
        <v>0</v>
      </c>
      <c r="AB10" s="171" t="str">
        <f t="shared" ca="1" si="2"/>
        <v>CobaltZhejiang Huayou Cobalt Company Limited</v>
      </c>
    </row>
    <row r="11" spans="1:34" s="171" customFormat="1" ht="20.25">
      <c r="A11" s="201" t="s">
        <v>108</v>
      </c>
      <c r="B11" s="150" t="str">
        <f ca="1">IF(LEN(A11)=0,"",INDEX('Smelter Look-up'!$A:$A,MATCH($A11,'Smelter Look-up'!$E:$E,0)))</f>
        <v>Cobalt</v>
      </c>
      <c r="C11" s="153" t="str">
        <f ca="1">IF(LEN(A11)=0,"",INDEX('Smelter Look-up'!$C:$C,MATCH($A11,'Smelter Look-up'!$E:$E,0)))</f>
        <v>Umicore Finland Oy</v>
      </c>
      <c r="D11" s="150"/>
      <c r="E11" s="150" t="str">
        <f ca="1">IF(ISERROR($V11),"",OFFSET('Smelter Look-up'!$D$4,$V11-4,0)&amp;"")</f>
        <v>FINLAND</v>
      </c>
      <c r="F11" s="150" t="str">
        <f ca="1">IF(ISERROR($V11),"",OFFSET('Smelter Look-up'!$E$4,$V11-4,0))</f>
        <v>CID003226</v>
      </c>
      <c r="G11" s="150" t="str">
        <f ca="1">IF(C11=$X$4,"Enter smelter details",IF(ISERROR($V11),"",OFFSET('Smelter Look-up'!$F$4,$V11-4,0)))</f>
        <v>RMI</v>
      </c>
      <c r="H11" s="208">
        <f ca="1">IF(ISERROR($V11),"",OFFSET('Smelter Look-up'!$G$4,$V11-4,0))</f>
        <v>0</v>
      </c>
      <c r="I11" s="209" t="str">
        <f ca="1">IF(ISERROR($V11),"",OFFSET('Smelter Look-up'!$H$4,$V11-4,0))</f>
        <v>Kokkola</v>
      </c>
      <c r="J11" s="209" t="str">
        <f ca="1">IF(ISERROR($V11),"",OFFSET('Smelter Look-up'!$I$4,$V11-4,0))</f>
        <v>Mellersta Österbotten</v>
      </c>
      <c r="K11" s="151"/>
      <c r="L11" s="151"/>
      <c r="M11" s="151"/>
      <c r="N11" s="151"/>
      <c r="O11" s="151"/>
      <c r="P11" s="211"/>
      <c r="Q11" s="152"/>
      <c r="R11" s="150" t="str">
        <f ca="1">IF(ISERROR($V11),"",OFFSET('Smelter Look-up'!$C$4,$V11-4,0)&amp;"")</f>
        <v>Umicore Finland Oy</v>
      </c>
      <c r="S11" s="156" t="str">
        <f t="shared" ca="1" si="0"/>
        <v>FI</v>
      </c>
      <c r="T11" s="156" t="str">
        <f ca="1">IF(B11="","",IF(ISERROR(MATCH($J11,SorP!$B$1:$B$6226,0)),"",INDIRECT("'SorP'!$A$"&amp;MATCH($S11&amp;$J11,SorP!C:C,0))))</f>
        <v>FI-07</v>
      </c>
      <c r="U11" s="169"/>
      <c r="V11" s="170">
        <f ca="1">IF(C11="",NA(),MATCH($B11&amp;$C11,'Smelter Look-up'!$J:$J,0))</f>
        <v>138</v>
      </c>
      <c r="X11" s="171">
        <f t="shared" ca="1" si="1"/>
        <v>0</v>
      </c>
      <c r="AB11" s="171" t="str">
        <f t="shared" ca="1" si="2"/>
        <v>CobaltUmicore Finland Oy</v>
      </c>
    </row>
    <row r="12" spans="1:34" s="171" customFormat="1" ht="20.25">
      <c r="A12" s="200" t="s">
        <v>291</v>
      </c>
      <c r="B12" s="150" t="str">
        <f ca="1">IF(LEN(A12)=0,"",INDEX('Smelter Look-up'!$A:$A,MATCH($A12,'Smelter Look-up'!$E:$E,0)))</f>
        <v>Cobalt</v>
      </c>
      <c r="C12" s="153" t="str">
        <f ca="1">IF(LEN(A12)=0,"",INDEX('Smelter Look-up'!$C:$C,MATCH($A12,'Smelter Look-up'!$E:$E,0)))</f>
        <v>Umicore Olen</v>
      </c>
      <c r="D12" s="150"/>
      <c r="E12" s="150" t="str">
        <f ca="1">IF(ISERROR($V12),"",OFFSET('Smelter Look-up'!$D$4,$V12-4,0)&amp;"")</f>
        <v>BELGIUM</v>
      </c>
      <c r="F12" s="150" t="str">
        <f ca="1">IF(ISERROR($V12),"",OFFSET('Smelter Look-up'!$E$4,$V12-4,0))</f>
        <v>CID003228</v>
      </c>
      <c r="G12" s="150" t="str">
        <f ca="1">IF(C12=$X$4,"Enter smelter details",IF(ISERROR($V12),"",OFFSET('Smelter Look-up'!$F$4,$V12-4,0)))</f>
        <v>RMI</v>
      </c>
      <c r="H12" s="208">
        <f ca="1">IF(ISERROR($V12),"",OFFSET('Smelter Look-up'!$G$4,$V12-4,0))</f>
        <v>0</v>
      </c>
      <c r="I12" s="209" t="str">
        <f ca="1">IF(ISERROR($V12),"",OFFSET('Smelter Look-up'!$H$4,$V12-4,0))</f>
        <v>Olen</v>
      </c>
      <c r="J12" s="209" t="str">
        <f ca="1">IF(ISERROR($V12),"",OFFSET('Smelter Look-up'!$I$4,$V12-4,0))</f>
        <v>Antwerpen</v>
      </c>
      <c r="K12" s="151"/>
      <c r="L12" s="151"/>
      <c r="M12" s="151"/>
      <c r="N12" s="151"/>
      <c r="O12" s="151"/>
      <c r="P12" s="211"/>
      <c r="Q12" s="152"/>
      <c r="R12" s="150" t="str">
        <f ca="1">IF(ISERROR($V12),"",OFFSET('Smelter Look-up'!$C$4,$V12-4,0)&amp;"")</f>
        <v>Umicore Olen</v>
      </c>
      <c r="S12" s="156" t="str">
        <f t="shared" ca="1" si="0"/>
        <v>BE</v>
      </c>
      <c r="T12" s="156" t="str">
        <f ca="1">IF(B12="","",IF(ISERROR(MATCH($J12,SorP!$B$1:$B$6226,0)),"",INDIRECT("'SorP'!$A$"&amp;MATCH($S12&amp;$J12,SorP!C:C,0))))</f>
        <v>BE-VAN</v>
      </c>
      <c r="U12" s="169"/>
      <c r="V12" s="170">
        <f ca="1">IF(C12="",NA(),MATCH($B12&amp;$C12,'Smelter Look-up'!$J:$J,0))</f>
        <v>139</v>
      </c>
      <c r="X12" s="171">
        <f t="shared" ca="1" si="1"/>
        <v>0</v>
      </c>
      <c r="AB12" s="171" t="str">
        <f t="shared" ca="1" si="2"/>
        <v>CobaltUmicore Olen</v>
      </c>
    </row>
    <row r="13" spans="1:34" s="171" customFormat="1" ht="20.25">
      <c r="A13" s="200" t="s">
        <v>94</v>
      </c>
      <c r="B13" s="150" t="str">
        <f ca="1">IF(LEN(A13)=0,"",INDEX('Smelter Look-up'!$A:$A,MATCH($A13,'Smelter Look-up'!$E:$E,0)))</f>
        <v>Cobalt</v>
      </c>
      <c r="C13" s="153" t="str">
        <f ca="1">IF(LEN(A13)=0,"",INDEX('Smelter Look-up'!$C:$C,MATCH($A13,'Smelter Look-up'!$E:$E,0)))</f>
        <v>Dynatec Madagascar Company</v>
      </c>
      <c r="D13" s="150"/>
      <c r="E13" s="150" t="str">
        <f ca="1">IF(ISERROR($V13),"",OFFSET('Smelter Look-up'!$D$4,$V13-4,0)&amp;"")</f>
        <v>MADAGASCAR</v>
      </c>
      <c r="F13" s="150" t="str">
        <f ca="1">IF(ISERROR($V13),"",OFFSET('Smelter Look-up'!$E$4,$V13-4,0))</f>
        <v>CID003232</v>
      </c>
      <c r="G13" s="150" t="str">
        <f ca="1">IF(C13=$X$4,"Enter smelter details",IF(ISERROR($V13),"",OFFSET('Smelter Look-up'!$F$4,$V13-4,0)))</f>
        <v>RMI</v>
      </c>
      <c r="H13" s="208">
        <f ca="1">IF(ISERROR($V13),"",OFFSET('Smelter Look-up'!$G$4,$V13-4,0))</f>
        <v>0</v>
      </c>
      <c r="I13" s="209" t="str">
        <f ca="1">IF(ISERROR($V13),"",OFFSET('Smelter Look-up'!$H$4,$V13-4,0))</f>
        <v>Toamasina</v>
      </c>
      <c r="J13" s="209" t="str">
        <f ca="1">IF(ISERROR($V13),"",OFFSET('Smelter Look-up'!$I$4,$V13-4,0))</f>
        <v>Toamasina</v>
      </c>
      <c r="K13" s="151"/>
      <c r="L13" s="151"/>
      <c r="M13" s="151"/>
      <c r="N13" s="151"/>
      <c r="O13" s="151"/>
      <c r="P13" s="211"/>
      <c r="Q13" s="152"/>
      <c r="R13" s="150" t="str">
        <f ca="1">IF(ISERROR($V13),"",OFFSET('Smelter Look-up'!$C$4,$V13-4,0)&amp;"")</f>
        <v>Dynatec Madagascar Company</v>
      </c>
      <c r="S13" s="156" t="str">
        <f t="shared" ca="1" si="0"/>
        <v>MG</v>
      </c>
      <c r="T13" s="156" t="str">
        <f ca="1">IF(B13="","",IF(ISERROR(MATCH($J13,SorP!$B$1:$B$6226,0)),"",INDIRECT("'SorP'!$A$"&amp;MATCH($S13&amp;$J13,SorP!C:C,0))))</f>
        <v>MG-A</v>
      </c>
      <c r="U13" s="169"/>
      <c r="V13" s="170">
        <f ca="1">IF(C13="",NA(),MATCH($B13&amp;$C13,'Smelter Look-up'!$J:$J,0))</f>
        <v>16</v>
      </c>
      <c r="X13" s="171">
        <f t="shared" ca="1" si="1"/>
        <v>0</v>
      </c>
      <c r="AB13" s="171" t="str">
        <f t="shared" ca="1" si="2"/>
        <v>CobaltDynatec Madagascar Company</v>
      </c>
    </row>
    <row r="14" spans="1:34" s="171" customFormat="1" ht="20.25">
      <c r="A14" s="201" t="s">
        <v>263</v>
      </c>
      <c r="B14" s="150" t="str">
        <f ca="1">IF(LEN(A14)=0,"",INDEX('Smelter Look-up'!$A:$A,MATCH($A14,'Smelter Look-up'!$E:$E,0)))</f>
        <v>Cobalt</v>
      </c>
      <c r="C14" s="153" t="str">
        <f ca="1">IF(LEN(A14)=0,"",INDEX('Smelter Look-up'!$C:$C,MATCH($A14,'Smelter Look-up'!$E:$E,0)))</f>
        <v>Port Colborne Refinery</v>
      </c>
      <c r="D14" s="150"/>
      <c r="E14" s="150" t="str">
        <f ca="1">IF(ISERROR($V14),"",OFFSET('Smelter Look-up'!$D$4,$V14-4,0)&amp;"")</f>
        <v>CANADA</v>
      </c>
      <c r="F14" s="150" t="str">
        <f ca="1">IF(ISERROR($V14),"",OFFSET('Smelter Look-up'!$E$4,$V14-4,0))</f>
        <v>CID003239</v>
      </c>
      <c r="G14" s="150" t="str">
        <f ca="1">IF(C14=$X$4,"Enter smelter details",IF(ISERROR($V14),"",OFFSET('Smelter Look-up'!$F$4,$V14-4,0)))</f>
        <v>RMI</v>
      </c>
      <c r="H14" s="208">
        <f ca="1">IF(ISERROR($V14),"",OFFSET('Smelter Look-up'!$G$4,$V14-4,0))</f>
        <v>0</v>
      </c>
      <c r="I14" s="209" t="str">
        <f ca="1">IF(ISERROR($V14),"",OFFSET('Smelter Look-up'!$H$4,$V14-4,0))</f>
        <v>Port Colborne</v>
      </c>
      <c r="J14" s="209" t="str">
        <f ca="1">IF(ISERROR($V14),"",OFFSET('Smelter Look-up'!$I$4,$V14-4,0))</f>
        <v>Ontario</v>
      </c>
      <c r="K14" s="151"/>
      <c r="L14" s="151"/>
      <c r="M14" s="151"/>
      <c r="N14" s="151"/>
      <c r="O14" s="151"/>
      <c r="P14" s="211"/>
      <c r="Q14" s="152"/>
      <c r="R14" s="150" t="str">
        <f ca="1">IF(ISERROR($V14),"",OFFSET('Smelter Look-up'!$C$4,$V14-4,0)&amp;"")</f>
        <v>Port Colborne Refinery</v>
      </c>
      <c r="S14" s="156" t="str">
        <f t="shared" ca="1" si="0"/>
        <v>CA</v>
      </c>
      <c r="T14" s="156" t="str">
        <f ca="1">IF(B14="","",IF(ISERROR(MATCH($J14,SorP!$B$1:$B$6226,0)),"",INDIRECT("'SorP'!$A$"&amp;MATCH($S14&amp;$J14,SorP!C:C,0))))</f>
        <v>CA-ON</v>
      </c>
      <c r="U14" s="169"/>
      <c r="V14" s="170">
        <f ca="1">IF(C14="",NA(),MATCH($B14&amp;$C14,'Smelter Look-up'!$J:$J,0))</f>
        <v>113</v>
      </c>
      <c r="X14" s="171">
        <f t="shared" ca="1" si="1"/>
        <v>0</v>
      </c>
      <c r="AB14" s="171" t="str">
        <f t="shared" ca="1" si="2"/>
        <v>CobaltPort Colborne Refinery</v>
      </c>
    </row>
    <row r="15" spans="1:34" s="171" customFormat="1" ht="20.25">
      <c r="A15" s="201" t="s">
        <v>271</v>
      </c>
      <c r="B15" s="150" t="str">
        <f ca="1">IF(LEN(A15)=0,"",INDEX('Smelter Look-up'!$A:$A,MATCH($A15,'Smelter Look-up'!$E:$E,0)))</f>
        <v>Cobalt</v>
      </c>
      <c r="C15" s="153" t="str">
        <f ca="1">IF(LEN(A15)=0,"",INDEX('Smelter Look-up'!$C:$C,MATCH($A15,'Smelter Look-up'!$E:$E,0)))</f>
        <v>Quzhou Huayou Cobalt New Material Co., Ltd.</v>
      </c>
      <c r="D15" s="150"/>
      <c r="E15" s="150" t="str">
        <f ca="1">IF(ISERROR($V15),"",OFFSET('Smelter Look-up'!$D$4,$V15-4,0)&amp;"")</f>
        <v>CHINA</v>
      </c>
      <c r="F15" s="150" t="str">
        <f ca="1">IF(ISERROR($V15),"",OFFSET('Smelter Look-up'!$E$4,$V15-4,0))</f>
        <v>CID003255</v>
      </c>
      <c r="G15" s="150" t="str">
        <f ca="1">IF(C15=$X$4,"Enter smelter details",IF(ISERROR($V15),"",OFFSET('Smelter Look-up'!$F$4,$V15-4,0)))</f>
        <v>RMI</v>
      </c>
      <c r="H15" s="208">
        <f ca="1">IF(ISERROR($V15),"",OFFSET('Smelter Look-up'!$G$4,$V15-4,0))</f>
        <v>0</v>
      </c>
      <c r="I15" s="209" t="str">
        <f ca="1">IF(ISERROR($V15),"",OFFSET('Smelter Look-up'!$H$4,$V15-4,0))</f>
        <v>Quzhou</v>
      </c>
      <c r="J15" s="209" t="str">
        <f ca="1">IF(ISERROR($V15),"",OFFSET('Smelter Look-up'!$I$4,$V15-4,0))</f>
        <v>Zhejiang Sheng</v>
      </c>
      <c r="K15" s="151"/>
      <c r="L15" s="151"/>
      <c r="M15" s="151"/>
      <c r="N15" s="151"/>
      <c r="O15" s="151"/>
      <c r="P15" s="211"/>
      <c r="Q15" s="152"/>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 ca="1">IF(C15="",NA(),MATCH($B15&amp;$C15,'Smelter Look-up'!$J:$J,0))</f>
        <v>118</v>
      </c>
      <c r="X15" s="171">
        <f t="shared" ca="1" si="1"/>
        <v>0</v>
      </c>
      <c r="AB15" s="171" t="str">
        <f t="shared" ca="1" si="2"/>
        <v>CobaltQuzhou Huayou Cobalt New Material Co., Ltd.</v>
      </c>
    </row>
    <row r="16" spans="1:34" s="171" customFormat="1" ht="20.25">
      <c r="A16" s="200" t="s">
        <v>184</v>
      </c>
      <c r="B16" s="150" t="str">
        <f ca="1">IF(LEN(A16)=0,"",INDEX('Smelter Look-up'!$A:$A,MATCH($A16,'Smelter Look-up'!$E:$E,0)))</f>
        <v>Cobalt</v>
      </c>
      <c r="C16" s="153" t="str">
        <f ca="1">IF(LEN(A16)=0,"",INDEX('Smelter Look-up'!$C:$C,MATCH($A16,'Smelter Look-up'!$E:$E,0)))</f>
        <v>Kamoto Copper Company</v>
      </c>
      <c r="D16" s="150"/>
      <c r="E16" s="150" t="str">
        <f ca="1">IF(ISERROR($V16),"",OFFSET('Smelter Look-up'!$D$4,$V16-4,0)&amp;"")</f>
        <v>CONGO, DEMOCRATIC REPUBLIC OF THE</v>
      </c>
      <c r="F16" s="150" t="str">
        <f ca="1">IF(ISERROR($V16),"",OFFSET('Smelter Look-up'!$E$4,$V16-4,0))</f>
        <v>CID003261</v>
      </c>
      <c r="G16" s="150" t="str">
        <f ca="1">IF(C16=$X$4,"Enter smelter details",IF(ISERROR($V16),"",OFFSET('Smelter Look-up'!$F$4,$V16-4,0)))</f>
        <v>RMI</v>
      </c>
      <c r="H16" s="208">
        <f ca="1">IF(ISERROR($V16),"",OFFSET('Smelter Look-up'!$G$4,$V16-4,0))</f>
        <v>0</v>
      </c>
      <c r="I16" s="209" t="str">
        <f ca="1">IF(ISERROR($V16),"",OFFSET('Smelter Look-up'!$H$4,$V16-4,0))</f>
        <v>Kolwezi</v>
      </c>
      <c r="J16" s="209" t="str">
        <f ca="1">IF(ISERROR($V16),"",OFFSET('Smelter Look-up'!$I$4,$V16-4,0))</f>
        <v>Lualaba</v>
      </c>
      <c r="K16" s="151"/>
      <c r="L16" s="151"/>
      <c r="M16" s="151"/>
      <c r="N16" s="151"/>
      <c r="O16" s="151"/>
      <c r="P16" s="211"/>
      <c r="Q16" s="152"/>
      <c r="R16" s="150" t="str">
        <f ca="1">IF(ISERROR($V16),"",OFFSET('Smelter Look-up'!$C$4,$V16-4,0)&amp;"")</f>
        <v>Kamoto Copper Company</v>
      </c>
      <c r="S16" s="156" t="str">
        <f t="shared" ca="1" si="0"/>
        <v>CD</v>
      </c>
      <c r="T16" s="156" t="str">
        <f ca="1">IF(B16="","",IF(ISERROR(MATCH($J16,SorP!$B$1:$B$6226,0)),"",INDIRECT("'SorP'!$A$"&amp;MATCH($S16&amp;$J16,SorP!C:C,0))))</f>
        <v>CD-LU</v>
      </c>
      <c r="U16" s="169"/>
      <c r="V16" s="170">
        <f ca="1">IF(C16="",NA(),MATCH($B16&amp;$C16,'Smelter Look-up'!$J:$J,0))</f>
        <v>64</v>
      </c>
      <c r="X16" s="171">
        <f t="shared" ca="1" si="1"/>
        <v>0</v>
      </c>
      <c r="AB16" s="171" t="str">
        <f t="shared" ca="1" si="2"/>
        <v>CobaltKamoto Copper Company</v>
      </c>
    </row>
    <row r="17" spans="1:28" s="171" customFormat="1" ht="20.25">
      <c r="A17" s="200" t="s">
        <v>189</v>
      </c>
      <c r="B17" s="150" t="str">
        <f ca="1">IF(LEN(A17)=0,"",INDEX('Smelter Look-up'!$A:$A,MATCH($A17,'Smelter Look-up'!$E:$E,0)))</f>
        <v>Cobalt</v>
      </c>
      <c r="C17" s="153" t="str">
        <f ca="1">IF(LEN(A17)=0,"",INDEX('Smelter Look-up'!$C:$C,MATCH($A17,'Smelter Look-up'!$E:$E,0)))</f>
        <v>La Compagnie de Traitement des Rejets de Kingamyambo S.A. (Metalkol S.A.)</v>
      </c>
      <c r="D17" s="150"/>
      <c r="E17" s="150" t="str">
        <f ca="1">IF(ISERROR($V17),"",OFFSET('Smelter Look-up'!$D$4,$V17-4,0)&amp;"")</f>
        <v>CONGO, DEMOCRATIC REPUBLIC OF THE</v>
      </c>
      <c r="F17" s="150" t="str">
        <f ca="1">IF(ISERROR($V17),"",OFFSET('Smelter Look-up'!$E$4,$V17-4,0))</f>
        <v>CID003275</v>
      </c>
      <c r="G17" s="150" t="str">
        <f ca="1">IF(C17=$X$4,"Enter smelter details",IF(ISERROR($V17),"",OFFSET('Smelter Look-up'!$F$4,$V17-4,0)))</f>
        <v>RMI</v>
      </c>
      <c r="H17" s="208">
        <f ca="1">IF(ISERROR($V17),"",OFFSET('Smelter Look-up'!$G$4,$V17-4,0))</f>
        <v>0</v>
      </c>
      <c r="I17" s="209" t="str">
        <f ca="1">IF(ISERROR($V17),"",OFFSET('Smelter Look-up'!$H$4,$V17-4,0))</f>
        <v>Lubumbashi</v>
      </c>
      <c r="J17" s="209" t="str">
        <f ca="1">IF(ISERROR($V17),"",OFFSET('Smelter Look-up'!$I$4,$V17-4,0))</f>
        <v>Haut-Katanga</v>
      </c>
      <c r="K17" s="151"/>
      <c r="L17" s="151"/>
      <c r="M17" s="151"/>
      <c r="N17" s="151"/>
      <c r="O17" s="151"/>
      <c r="P17" s="211"/>
      <c r="Q17" s="152"/>
      <c r="R17" s="150" t="str">
        <f ca="1">IF(ISERROR($V17),"",OFFSET('Smelter Look-up'!$C$4,$V17-4,0)&amp;"")</f>
        <v>La Compagnie de Traitement des Rejets de Kingamyambo S.A. (Metalkol S.A.)</v>
      </c>
      <c r="S17" s="156" t="str">
        <f t="shared" ca="1" si="0"/>
        <v>CD</v>
      </c>
      <c r="T17" s="156" t="str">
        <f ca="1">IF(B17="","",IF(ISERROR(MATCH($J17,SorP!$B$1:$B$6226,0)),"",INDIRECT("'SorP'!$A$"&amp;MATCH($S17&amp;$J17,SorP!C:C,0))))</f>
        <v>CD-HK</v>
      </c>
      <c r="U17" s="169"/>
      <c r="V17" s="170">
        <f ca="1">IF(C17="",NA(),MATCH($B17&amp;$C17,'Smelter Look-up'!$J:$J,0))</f>
        <v>70</v>
      </c>
      <c r="X17" s="171">
        <f t="shared" ca="1" si="1"/>
        <v>0</v>
      </c>
      <c r="AB17" s="171" t="str">
        <f t="shared" ca="1" si="2"/>
        <v>CobaltLa Compagnie de Traitement des Rejets de Kingamyambo S.A. (Metalkol S.A.)</v>
      </c>
    </row>
    <row r="18" spans="1:28" s="171" customFormat="1" ht="20.25">
      <c r="A18" s="200" t="s">
        <v>250</v>
      </c>
      <c r="B18" s="150" t="str">
        <f ca="1">IF(LEN(A18)=0,"",INDEX('Smelter Look-up'!$A:$A,MATCH($A18,'Smelter Look-up'!$E:$E,0)))</f>
        <v>Cobalt</v>
      </c>
      <c r="C18" s="153" t="str">
        <f ca="1">IF(LEN(A18)=0,"",INDEX('Smelter Look-up'!$C:$C,MATCH($A18,'Smelter Look-up'!$E:$E,0)))</f>
        <v>Niihama Nickel Refinery, Sumitomo Metal Mining</v>
      </c>
      <c r="D18" s="150"/>
      <c r="E18" s="150" t="str">
        <f ca="1">IF(ISERROR($V18),"",OFFSET('Smelter Look-up'!$D$4,$V18-4,0)&amp;"")</f>
        <v>JAPAN</v>
      </c>
      <c r="F18" s="150" t="str">
        <f ca="1">IF(ISERROR($V18),"",OFFSET('Smelter Look-up'!$E$4,$V18-4,0))</f>
        <v>CID003278</v>
      </c>
      <c r="G18" s="150" t="str">
        <f ca="1">IF(C18=$X$4,"Enter smelter details",IF(ISERROR($V18),"",OFFSET('Smelter Look-up'!$F$4,$V18-4,0)))</f>
        <v>RMI</v>
      </c>
      <c r="H18" s="208">
        <f ca="1">IF(ISERROR($V18),"",OFFSET('Smelter Look-up'!$G$4,$V18-4,0))</f>
        <v>0</v>
      </c>
      <c r="I18" s="209" t="str">
        <f ca="1">IF(ISERROR($V18),"",OFFSET('Smelter Look-up'!$H$4,$V18-4,0))</f>
        <v>Niihama</v>
      </c>
      <c r="J18" s="209" t="str">
        <f ca="1">IF(ISERROR($V18),"",OFFSET('Smelter Look-up'!$I$4,$V18-4,0))</f>
        <v>Ehime</v>
      </c>
      <c r="K18" s="151"/>
      <c r="L18" s="151"/>
      <c r="M18" s="151"/>
      <c r="N18" s="151"/>
      <c r="O18" s="151"/>
      <c r="P18" s="211"/>
      <c r="Q18" s="152"/>
      <c r="R18" s="150" t="str">
        <f ca="1">IF(ISERROR($V18),"",OFFSET('Smelter Look-up'!$C$4,$V18-4,0)&amp;"")</f>
        <v>Niihama Nickel Refinery, Sumitomo Metal Mining</v>
      </c>
      <c r="S18" s="156" t="str">
        <f t="shared" ca="1" si="0"/>
        <v>JP</v>
      </c>
      <c r="T18" s="156" t="str">
        <f ca="1">IF(B18="","",IF(ISERROR(MATCH($J18,SorP!$B$1:$B$6226,0)),"",INDIRECT("'SorP'!$A$"&amp;MATCH($S18&amp;$J18,SorP!C:C,0))))</f>
        <v>JP-38</v>
      </c>
      <c r="U18" s="169"/>
      <c r="V18" s="170">
        <f ca="1">IF(C18="",NA(),MATCH($B18&amp;$C18,'Smelter Look-up'!$J:$J,0))</f>
        <v>108</v>
      </c>
      <c r="X18" s="171">
        <f t="shared" ca="1" si="1"/>
        <v>0</v>
      </c>
      <c r="AB18" s="171" t="str">
        <f t="shared" ca="1" si="2"/>
        <v>CobaltNiihama Nickel Refinery, Sumitomo Metal Mining</v>
      </c>
    </row>
    <row r="19" spans="1:28" s="171" customFormat="1" ht="20.25">
      <c r="A19" s="200" t="s">
        <v>231</v>
      </c>
      <c r="B19" s="150" t="str">
        <f ca="1">IF(LEN(A19)=0,"",INDEX('Smelter Look-up'!$A:$A,MATCH($A19,'Smelter Look-up'!$E:$E,0)))</f>
        <v>Cobalt</v>
      </c>
      <c r="C19" s="153" t="str">
        <f ca="1">IF(LEN(A19)=0,"",INDEX('Smelter Look-up'!$C:$C,MATCH($A19,'Smelter Look-up'!$E:$E,0)))</f>
        <v>Mine de Bou-Azzer</v>
      </c>
      <c r="D19" s="150"/>
      <c r="E19" s="150" t="str">
        <f ca="1">IF(ISERROR($V19),"",OFFSET('Smelter Look-up'!$D$4,$V19-4,0)&amp;"")</f>
        <v>MOROCCO</v>
      </c>
      <c r="F19" s="150" t="str">
        <f ca="1">IF(ISERROR($V19),"",OFFSET('Smelter Look-up'!$E$4,$V19-4,0))</f>
        <v>CID003279</v>
      </c>
      <c r="G19" s="150" t="str">
        <f ca="1">IF(C19=$X$4,"Enter smelter details",IF(ISERROR($V19),"",OFFSET('Smelter Look-up'!$F$4,$V19-4,0)))</f>
        <v>RMI</v>
      </c>
      <c r="H19" s="208">
        <f ca="1">IF(ISERROR($V19),"",OFFSET('Smelter Look-up'!$G$4,$V19-4,0))</f>
        <v>0</v>
      </c>
      <c r="I19" s="209" t="str">
        <f ca="1">IF(ISERROR($V19),"",OFFSET('Smelter Look-up'!$H$4,$V19-4,0))</f>
        <v>Tazenakht</v>
      </c>
      <c r="J19" s="209" t="str">
        <f ca="1">IF(ISERROR($V19),"",OFFSET('Smelter Look-up'!$I$4,$V19-4,0))</f>
        <v>Drâa-Tafilalet</v>
      </c>
      <c r="K19" s="151"/>
      <c r="L19" s="151"/>
      <c r="M19" s="151"/>
      <c r="N19" s="151"/>
      <c r="O19" s="151"/>
      <c r="P19" s="211"/>
      <c r="Q19" s="152"/>
      <c r="R19" s="150" t="str">
        <f ca="1">IF(ISERROR($V19),"",OFFSET('Smelter Look-up'!$C$4,$V19-4,0)&amp;"")</f>
        <v>Mine de Bou-Azzer</v>
      </c>
      <c r="S19" s="156" t="str">
        <f t="shared" ca="1" si="0"/>
        <v>MA</v>
      </c>
      <c r="T19" s="156" t="str">
        <f ca="1">IF(B19="","",IF(ISERROR(MATCH($J19,SorP!$B$1:$B$6226,0)),"",INDIRECT("'SorP'!$A$"&amp;MATCH($S19&amp;$J19,SorP!C:C,0))))</f>
        <v>MA-08</v>
      </c>
      <c r="U19" s="169"/>
      <c r="V19" s="170">
        <f ca="1">IF(C19="",NA(),MATCH($B19&amp;$C19,'Smelter Look-up'!$J:$J,0))</f>
        <v>91</v>
      </c>
      <c r="X19" s="171">
        <f t="shared" ca="1" si="1"/>
        <v>0</v>
      </c>
      <c r="AB19" s="171" t="str">
        <f t="shared" ca="1" si="2"/>
        <v>CobaltMine de Bou-Azzer</v>
      </c>
    </row>
    <row r="20" spans="1:28" s="171" customFormat="1" ht="20.25">
      <c r="A20" s="201" t="s">
        <v>78</v>
      </c>
      <c r="B20" s="150" t="str">
        <f ca="1">IF(LEN(A20)=0,"",INDEX('Smelter Look-up'!$A:$A,MATCH($A20,'Smelter Look-up'!$E:$E,0)))</f>
        <v>Cobalt</v>
      </c>
      <c r="C20" s="153" t="str">
        <f ca="1">IF(LEN(A20)=0,"",INDEX('Smelter Look-up'!$C:$C,MATCH($A20,'Smelter Look-up'!$E:$E,0)))</f>
        <v>Compagnie de Tifnout Tiranimine</v>
      </c>
      <c r="D20" s="150"/>
      <c r="E20" s="150" t="str">
        <f ca="1">IF(ISERROR($V20),"",OFFSET('Smelter Look-up'!$D$4,$V20-4,0)&amp;"")</f>
        <v>MOROCCO</v>
      </c>
      <c r="F20" s="150" t="str">
        <f ca="1">IF(ISERROR($V20),"",OFFSET('Smelter Look-up'!$E$4,$V20-4,0))</f>
        <v>CID003280</v>
      </c>
      <c r="G20" s="150" t="str">
        <f ca="1">IF(C20=$X$4,"Enter smelter details",IF(ISERROR($V20),"",OFFSET('Smelter Look-up'!$F$4,$V20-4,0)))</f>
        <v>RMI</v>
      </c>
      <c r="H20" s="208">
        <f ca="1">IF(ISERROR($V20),"",OFFSET('Smelter Look-up'!$G$4,$V20-4,0))</f>
        <v>0</v>
      </c>
      <c r="I20" s="209" t="str">
        <f ca="1">IF(ISERROR($V20),"",OFFSET('Smelter Look-up'!$H$4,$V20-4,0))</f>
        <v>Marrakech</v>
      </c>
      <c r="J20" s="209" t="str">
        <f ca="1">IF(ISERROR($V20),"",OFFSET('Smelter Look-up'!$I$4,$V20-4,0))</f>
        <v>Marrakech-Safi</v>
      </c>
      <c r="K20" s="151"/>
      <c r="L20" s="151"/>
      <c r="M20" s="151"/>
      <c r="N20" s="151"/>
      <c r="O20" s="151"/>
      <c r="P20" s="211"/>
      <c r="Q20" s="152"/>
      <c r="R20" s="150" t="str">
        <f ca="1">IF(ISERROR($V20),"",OFFSET('Smelter Look-up'!$C$4,$V20-4,0)&amp;"")</f>
        <v>Compagnie de Tifnout Tiranimine</v>
      </c>
      <c r="S20" s="156" t="str">
        <f t="shared" ca="1" si="0"/>
        <v>MA</v>
      </c>
      <c r="T20" s="156" t="str">
        <f ca="1">IF(B20="","",IF(ISERROR(MATCH($J20,SorP!$B$1:$B$6226,0)),"",INDIRECT("'SorP'!$A$"&amp;MATCH($S20&amp;$J20,SorP!C:C,0))))</f>
        <v>MA-07</v>
      </c>
      <c r="U20" s="169"/>
      <c r="V20" s="170">
        <f ca="1">IF(C20="",NA(),MATCH($B20&amp;$C20,'Smelter Look-up'!$J:$J,0))</f>
        <v>11</v>
      </c>
      <c r="X20" s="171">
        <f t="shared" ca="1" si="1"/>
        <v>0</v>
      </c>
      <c r="AB20" s="171" t="str">
        <f t="shared" ca="1" si="2"/>
        <v>CobaltCompagnie de Tifnout Tiranimine</v>
      </c>
    </row>
    <row r="21" spans="1:28" s="171" customFormat="1" ht="20.25">
      <c r="A21" s="200" t="s">
        <v>126</v>
      </c>
      <c r="B21" s="150" t="str">
        <f ca="1">IF(LEN(A21)=0,"",INDEX('Smelter Look-up'!$A:$A,MATCH($A21,'Smelter Look-up'!$E:$E,0)))</f>
        <v>Cobalt</v>
      </c>
      <c r="C21" s="153" t="str">
        <f ca="1">IF(LEN(A21)=0,"",INDEX('Smelter Look-up'!$C:$C,MATCH($A21,'Smelter Look-up'!$E:$E,0)))</f>
        <v>Guangdong Jiana Energy Technology Co., Ltd.</v>
      </c>
      <c r="D21" s="150"/>
      <c r="E21" s="150" t="str">
        <f ca="1">IF(ISERROR($V21),"",OFFSET('Smelter Look-up'!$D$4,$V21-4,0)&amp;"")</f>
        <v>CHINA</v>
      </c>
      <c r="F21" s="150" t="str">
        <f ca="1">IF(ISERROR($V21),"",OFFSET('Smelter Look-up'!$E$4,$V21-4,0))</f>
        <v>CID003291</v>
      </c>
      <c r="G21" s="150" t="str">
        <f ca="1">IF(C21=$X$4,"Enter smelter details",IF(ISERROR($V21),"",OFFSET('Smelter Look-up'!$F$4,$V21-4,0)))</f>
        <v>RMI</v>
      </c>
      <c r="H21" s="208">
        <f ca="1">IF(ISERROR($V21),"",OFFSET('Smelter Look-up'!$G$4,$V21-4,0))</f>
        <v>0</v>
      </c>
      <c r="I21" s="209" t="str">
        <f ca="1">IF(ISERROR($V21),"",OFFSET('Smelter Look-up'!$H$4,$V21-4,0))</f>
        <v>Guangzhou</v>
      </c>
      <c r="J21" s="209" t="str">
        <f ca="1">IF(ISERROR($V21),"",OFFSET('Smelter Look-up'!$I$4,$V21-4,0))</f>
        <v>Guangdong Sheng</v>
      </c>
      <c r="K21" s="151"/>
      <c r="L21" s="151"/>
      <c r="M21" s="151"/>
      <c r="N21" s="151"/>
      <c r="O21" s="151"/>
      <c r="P21" s="211"/>
      <c r="Q21" s="152"/>
      <c r="R21" s="150" t="str">
        <f ca="1">IF(ISERROR($V21),"",OFFSET('Smelter Look-up'!$C$4,$V21-4,0)&amp;"")</f>
        <v>Guangdong Jiana Energy Technology Co., Ltd.</v>
      </c>
      <c r="S21" s="156" t="str">
        <f t="shared" ca="1" si="0"/>
        <v>CN</v>
      </c>
      <c r="T21" s="156" t="str">
        <f ca="1">IF(B21="","",IF(ISERROR(MATCH($J21,SorP!$B$1:$B$6226,0)),"",INDIRECT("'SorP'!$A$"&amp;MATCH($S21&amp;$J21,SorP!C:C,0))))</f>
        <v>CN-GD</v>
      </c>
      <c r="U21" s="169"/>
      <c r="V21" s="170">
        <f ca="1">IF(C21="",NA(),MATCH($B21&amp;$C21,'Smelter Look-up'!$J:$J,0))</f>
        <v>33</v>
      </c>
      <c r="X21" s="171">
        <f t="shared" ca="1" si="1"/>
        <v>0</v>
      </c>
      <c r="AB21" s="171" t="str">
        <f t="shared" ca="1" si="2"/>
        <v>CobaltGuangdong Jiana Energy Technology Co., Ltd.</v>
      </c>
    </row>
    <row r="22" spans="1:28" s="171" customFormat="1" ht="20.25">
      <c r="A22" s="200" t="s">
        <v>170</v>
      </c>
      <c r="B22" s="150" t="str">
        <f ca="1">IF(LEN(A22)=0,"",INDEX('Smelter Look-up'!$A:$A,MATCH($A22,'Smelter Look-up'!$E:$E,0)))</f>
        <v>Cobalt</v>
      </c>
      <c r="C22" s="153" t="str">
        <f ca="1">IF(LEN(A22)=0,"",INDEX('Smelter Look-up'!$C:$C,MATCH($A22,'Smelter Look-up'!$E:$E,0)))</f>
        <v>Jiangsu Xiongfeng Technology Co., Ltd.</v>
      </c>
      <c r="D22" s="150"/>
      <c r="E22" s="150" t="str">
        <f ca="1">IF(ISERROR($V22),"",OFFSET('Smelter Look-up'!$D$4,$V22-4,0)&amp;"")</f>
        <v>CHINA</v>
      </c>
      <c r="F22" s="150" t="str">
        <f ca="1">IF(ISERROR($V22),"",OFFSET('Smelter Look-up'!$E$4,$V22-4,0))</f>
        <v>CID003293</v>
      </c>
      <c r="G22" s="150" t="str">
        <f ca="1">IF(C22=$X$4,"Enter smelter details",IF(ISERROR($V22),"",OFFSET('Smelter Look-up'!$F$4,$V22-4,0)))</f>
        <v>RMI</v>
      </c>
      <c r="H22" s="208">
        <f ca="1">IF(ISERROR($V22),"",OFFSET('Smelter Look-up'!$G$4,$V22-4,0))</f>
        <v>0</v>
      </c>
      <c r="I22" s="209" t="str">
        <f ca="1">IF(ISERROR($V22),"",OFFSET('Smelter Look-up'!$H$4,$V22-4,0))</f>
        <v>Haimen</v>
      </c>
      <c r="J22" s="209" t="str">
        <f ca="1">IF(ISERROR($V22),"",OFFSET('Smelter Look-up'!$I$4,$V22-4,0))</f>
        <v>Jiangsu Sheng</v>
      </c>
      <c r="K22" s="151"/>
      <c r="L22" s="151"/>
      <c r="M22" s="151"/>
      <c r="N22" s="151"/>
      <c r="O22" s="151"/>
      <c r="P22" s="211"/>
      <c r="Q22" s="152"/>
      <c r="R22" s="150" t="str">
        <f ca="1">IF(ISERROR($V22),"",OFFSET('Smelter Look-up'!$C$4,$V22-4,0)&amp;"")</f>
        <v>Jiangsu Xiongfeng Technology Co., Ltd.</v>
      </c>
      <c r="S22" s="156" t="str">
        <f t="shared" ca="1" si="0"/>
        <v>CN</v>
      </c>
      <c r="T22" s="156" t="str">
        <f ca="1">IF(B22="","",IF(ISERROR(MATCH($J22,SorP!$B$1:$B$6226,0)),"",INDIRECT("'SorP'!$A$"&amp;MATCH($S22&amp;$J22,SorP!C:C,0))))</f>
        <v>CN-JS</v>
      </c>
      <c r="U22" s="169"/>
      <c r="V22" s="170">
        <f ca="1">IF(C22="",NA(),MATCH($B22&amp;$C22,'Smelter Look-up'!$J:$J,0))</f>
        <v>57</v>
      </c>
      <c r="X22" s="171">
        <f t="shared" ca="1" si="1"/>
        <v>0</v>
      </c>
      <c r="AB22" s="171" t="str">
        <f t="shared" ca="1" si="2"/>
        <v>CobaltJiangsu Xiongfeng Technology Co., Ltd.</v>
      </c>
    </row>
    <row r="23" spans="1:28" s="171" customFormat="1" ht="20.25">
      <c r="A23" s="200" t="s">
        <v>282</v>
      </c>
      <c r="B23" s="150" t="str">
        <f ca="1">IF(LEN(A23)=0,"",INDEX('Smelter Look-up'!$A:$A,MATCH($A23,'Smelter Look-up'!$E:$E,0)))</f>
        <v>Cobalt</v>
      </c>
      <c r="C23" s="153" t="str">
        <f ca="1">IF(LEN(A23)=0,"",INDEX('Smelter Look-up'!$C:$C,MATCH($A23,'Smelter Look-up'!$E:$E,0)))</f>
        <v>SungEel HiTech Co., Ltd.</v>
      </c>
      <c r="D23" s="150"/>
      <c r="E23" s="150" t="str">
        <f ca="1">IF(ISERROR($V23),"",OFFSET('Smelter Look-up'!$D$4,$V23-4,0)&amp;"")</f>
        <v>KOREA, REPUBLIC OF</v>
      </c>
      <c r="F23" s="150" t="str">
        <f ca="1">IF(ISERROR($V23),"",OFFSET('Smelter Look-up'!$E$4,$V23-4,0))</f>
        <v>CID003338</v>
      </c>
      <c r="G23" s="150" t="str">
        <f ca="1">IF(C23=$X$4,"Enter smelter details",IF(ISERROR($V23),"",OFFSET('Smelter Look-up'!$F$4,$V23-4,0)))</f>
        <v>RMI</v>
      </c>
      <c r="H23" s="208">
        <f ca="1">IF(ISERROR($V23),"",OFFSET('Smelter Look-up'!$G$4,$V23-4,0))</f>
        <v>0</v>
      </c>
      <c r="I23" s="209" t="str">
        <f ca="1">IF(ISERROR($V23),"",OFFSET('Smelter Look-up'!$H$4,$V23-4,0))</f>
        <v>Gunsan-si</v>
      </c>
      <c r="J23" s="209" t="str">
        <f ca="1">IF(ISERROR($V23),"",OFFSET('Smelter Look-up'!$I$4,$V23-4,0))</f>
        <v>Jeollabuk-do</v>
      </c>
      <c r="K23" s="151"/>
      <c r="L23" s="151"/>
      <c r="M23" s="151"/>
      <c r="N23" s="151"/>
      <c r="O23" s="151"/>
      <c r="P23" s="211"/>
      <c r="Q23" s="152"/>
      <c r="R23" s="150" t="str">
        <f ca="1">IF(ISERROR($V23),"",OFFSET('Smelter Look-up'!$C$4,$V23-4,0)&amp;"")</f>
        <v>SungEel HiTech Co., Ltd.</v>
      </c>
      <c r="S23" s="156" t="str">
        <f t="shared" ca="1" si="0"/>
        <v>KR</v>
      </c>
      <c r="T23" s="156" t="str">
        <f ca="1">IF(B23="","",IF(ISERROR(MATCH($J23,SorP!$B$1:$B$6226,0)),"",INDIRECT("'SorP'!$A$"&amp;MATCH($S23&amp;$J23,SorP!C:C,0))))</f>
        <v>KR-45</v>
      </c>
      <c r="U23" s="169"/>
      <c r="V23" s="170">
        <f ca="1">IF(C23="",NA(),MATCH($B23&amp;$C23,'Smelter Look-up'!$J:$J,0))</f>
        <v>132</v>
      </c>
      <c r="X23" s="171">
        <f t="shared" ca="1" si="1"/>
        <v>0</v>
      </c>
      <c r="AB23" s="171" t="str">
        <f t="shared" ca="1" si="2"/>
        <v>CobaltSungEel HiTech Co., Ltd.</v>
      </c>
    </row>
    <row r="24" spans="1:28" s="171" customFormat="1" ht="20.25">
      <c r="A24" s="156" t="s">
        <v>172</v>
      </c>
      <c r="B24" s="150" t="str">
        <f ca="1">IF(LEN(A24)=0,"",INDEX('Smelter Look-up'!$A:$A,MATCH($A24,'Smelter Look-up'!$E:$E,0)))</f>
        <v>Cobalt</v>
      </c>
      <c r="C24" s="153" t="str">
        <f ca="1">IF(LEN(A24)=0,"",INDEX('Smelter Look-up'!$C:$C,MATCH($A24,'Smelter Look-up'!$E:$E,0)))</f>
        <v>Jiangxi Jiangwu Cobalt Industrial Co., Ltd.</v>
      </c>
      <c r="D24" s="150"/>
      <c r="E24" s="150" t="str">
        <f ca="1">IF(ISERROR($V24),"",OFFSET('Smelter Look-up'!$D$4,$V24-4,0)&amp;"")</f>
        <v>CHINA</v>
      </c>
      <c r="F24" s="150" t="str">
        <f ca="1">IF(ISERROR($V24),"",OFFSET('Smelter Look-up'!$E$4,$V24-4,0))</f>
        <v>CID003377</v>
      </c>
      <c r="G24" s="150" t="str">
        <f ca="1">IF(C24=$X$4,"Enter smelter details",IF(ISERROR($V24),"",OFFSET('Smelter Look-up'!$F$4,$V24-4,0)))</f>
        <v>RMI</v>
      </c>
      <c r="H24" s="208">
        <f ca="1">IF(ISERROR($V24),"",OFFSET('Smelter Look-up'!$G$4,$V24-4,0))</f>
        <v>0</v>
      </c>
      <c r="I24" s="209" t="str">
        <f ca="1">IF(ISERROR($V24),"",OFFSET('Smelter Look-up'!$H$4,$V24-4,0))</f>
        <v>Ganzhou</v>
      </c>
      <c r="J24" s="209" t="str">
        <f ca="1">IF(ISERROR($V24),"",OFFSET('Smelter Look-up'!$I$4,$V24-4,0))</f>
        <v>Jiangxi Sheng</v>
      </c>
      <c r="K24" s="151"/>
      <c r="L24" s="151"/>
      <c r="M24" s="151"/>
      <c r="N24" s="151"/>
      <c r="O24" s="151"/>
      <c r="P24" s="211"/>
      <c r="Q24" s="152"/>
      <c r="R24" s="150" t="str">
        <f ca="1">IF(ISERROR($V24),"",OFFSET('Smelter Look-up'!$C$4,$V24-4,0)&amp;"")</f>
        <v>Jiangxi Jiangwu Cobalt Industrial Co., Ltd.</v>
      </c>
      <c r="S24" s="156" t="str">
        <f t="shared" ca="1" si="0"/>
        <v>CN</v>
      </c>
      <c r="T24" s="156" t="str">
        <f ca="1">IF(B24="","",IF(ISERROR(MATCH($J24,SorP!$B$1:$B$6226,0)),"",INDIRECT("'SorP'!$A$"&amp;MATCH($S24&amp;$J24,SorP!C:C,0))))</f>
        <v>CN-JX</v>
      </c>
      <c r="U24" s="169"/>
      <c r="V24" s="170">
        <f ca="1">IF(C24="",NA(),MATCH($B24&amp;$C24,'Smelter Look-up'!$J:$J,0))</f>
        <v>58</v>
      </c>
      <c r="X24" s="171">
        <f t="shared" ca="1" si="1"/>
        <v>0</v>
      </c>
      <c r="AB24" s="171" t="str">
        <f t="shared" ca="1" si="2"/>
        <v>CobaltJiangxi Jiangwu Cobalt Industrial Co., Ltd.</v>
      </c>
    </row>
    <row r="25" spans="1:28" s="171" customFormat="1" ht="20.25">
      <c r="A25" s="156" t="s">
        <v>175</v>
      </c>
      <c r="B25" s="150" t="str">
        <f ca="1">IF(LEN(A25)=0,"",INDEX('Smelter Look-up'!$A:$A,MATCH($A25,'Smelter Look-up'!$E:$E,0)))</f>
        <v>Cobalt</v>
      </c>
      <c r="C25" s="153" t="str">
        <f ca="1">IF(LEN(A25)=0,"",INDEX('Smelter Look-up'!$C:$C,MATCH($A25,'Smelter Look-up'!$E:$E,0)))</f>
        <v>Jingmen GEM Co., Ltd.</v>
      </c>
      <c r="D25" s="150"/>
      <c r="E25" s="150" t="str">
        <f ca="1">IF(ISERROR($V25),"",OFFSET('Smelter Look-up'!$D$4,$V25-4,0)&amp;"")</f>
        <v>CHINA</v>
      </c>
      <c r="F25" s="150" t="str">
        <f ca="1">IF(ISERROR($V25),"",OFFSET('Smelter Look-up'!$E$4,$V25-4,0))</f>
        <v>CID003378</v>
      </c>
      <c r="G25" s="150" t="str">
        <f ca="1">IF(C25=$X$4,"Enter smelter details",IF(ISERROR($V25),"",OFFSET('Smelter Look-up'!$F$4,$V25-4,0)))</f>
        <v>RMI</v>
      </c>
      <c r="H25" s="208">
        <f ca="1">IF(ISERROR($V25),"",OFFSET('Smelter Look-up'!$G$4,$V25-4,0))</f>
        <v>0</v>
      </c>
      <c r="I25" s="209" t="str">
        <f ca="1">IF(ISERROR($V25),"",OFFSET('Smelter Look-up'!$H$4,$V25-4,0))</f>
        <v>Jingmen</v>
      </c>
      <c r="J25" s="209" t="str">
        <f ca="1">IF(ISERROR($V25),"",OFFSET('Smelter Look-up'!$I$4,$V25-4,0))</f>
        <v>Hubei Sheng</v>
      </c>
      <c r="K25" s="151"/>
      <c r="L25" s="151"/>
      <c r="M25" s="151"/>
      <c r="N25" s="151"/>
      <c r="O25" s="151"/>
      <c r="P25" s="211"/>
      <c r="Q25" s="152"/>
      <c r="R25" s="150" t="str">
        <f ca="1">IF(ISERROR($V25),"",OFFSET('Smelter Look-up'!$C$4,$V25-4,0)&amp;"")</f>
        <v>Jingmen GEM Co., Ltd.</v>
      </c>
      <c r="S25" s="156" t="str">
        <f t="shared" ca="1" si="0"/>
        <v>CN</v>
      </c>
      <c r="T25" s="156" t="str">
        <f ca="1">IF(B25="","",IF(ISERROR(MATCH($J25,SorP!$B$1:$B$6226,0)),"",INDIRECT("'SorP'!$A$"&amp;MATCH($S25&amp;$J25,SorP!C:C,0))))</f>
        <v>CN-HB</v>
      </c>
      <c r="U25" s="169"/>
      <c r="V25" s="170">
        <f ca="1">IF(C25="",NA(),MATCH($B25&amp;$C25,'Smelter Look-up'!$J:$J,0))</f>
        <v>62</v>
      </c>
      <c r="X25" s="171">
        <f t="shared" ca="1" si="1"/>
        <v>0</v>
      </c>
      <c r="AB25" s="171" t="str">
        <f t="shared" ca="1" si="2"/>
        <v>CobaltJingmen GEM Co., Ltd.</v>
      </c>
    </row>
    <row r="26" spans="1:28" s="171" customFormat="1" ht="20.25">
      <c r="A26" s="156" t="s">
        <v>114</v>
      </c>
      <c r="B26" s="150" t="str">
        <f ca="1">IF(LEN(A26)=0,"",INDEX('Smelter Look-up'!$A:$A,MATCH($A26,'Smelter Look-up'!$E:$E,0)))</f>
        <v>Cobalt</v>
      </c>
      <c r="C26" s="153" t="str">
        <f ca="1">IF(LEN(A26)=0,"",INDEX('Smelter Look-up'!$C:$C,MATCH($A26,'Smelter Look-up'!$E:$E,0)))</f>
        <v>Ganzhou Highpower Technology Co., Ltd.</v>
      </c>
      <c r="D26" s="150"/>
      <c r="E26" s="150" t="str">
        <f ca="1">IF(ISERROR($V26),"",OFFSET('Smelter Look-up'!$D$4,$V26-4,0)&amp;"")</f>
        <v>CHINA</v>
      </c>
      <c r="F26" s="150" t="str">
        <f ca="1">IF(ISERROR($V26),"",OFFSET('Smelter Look-up'!$E$4,$V26-4,0))</f>
        <v>CID003384</v>
      </c>
      <c r="G26" s="150" t="str">
        <f ca="1">IF(C26=$X$4,"Enter smelter details",IF(ISERROR($V26),"",OFFSET('Smelter Look-up'!$F$4,$V26-4,0)))</f>
        <v>RMI</v>
      </c>
      <c r="H26" s="208">
        <f ca="1">IF(ISERROR($V26),"",OFFSET('Smelter Look-up'!$G$4,$V26-4,0))</f>
        <v>0</v>
      </c>
      <c r="I26" s="209" t="str">
        <f ca="1">IF(ISERROR($V26),"",OFFSET('Smelter Look-up'!$H$4,$V26-4,0))</f>
        <v>Ganzhou</v>
      </c>
      <c r="J26" s="209" t="str">
        <f ca="1">IF(ISERROR($V26),"",OFFSET('Smelter Look-up'!$I$4,$V26-4,0))</f>
        <v>Jiangxi Sheng</v>
      </c>
      <c r="K26" s="151"/>
      <c r="L26" s="151"/>
      <c r="M26" s="151"/>
      <c r="N26" s="151"/>
      <c r="O26" s="151"/>
      <c r="P26" s="211"/>
      <c r="Q26" s="152"/>
      <c r="R26" s="150" t="str">
        <f ca="1">IF(ISERROR($V26),"",OFFSET('Smelter Look-up'!$C$4,$V26-4,0)&amp;"")</f>
        <v>Ganzhou Highpower Technology Co., Ltd.</v>
      </c>
      <c r="S26" s="156" t="str">
        <f t="shared" ca="1" si="0"/>
        <v>CN</v>
      </c>
      <c r="T26" s="156" t="str">
        <f ca="1">IF(B26="","",IF(ISERROR(MATCH($J26,SorP!$B$1:$B$6226,0)),"",INDIRECT("'SorP'!$A$"&amp;MATCH($S26&amp;$J26,SorP!C:C,0))))</f>
        <v>CN-JX</v>
      </c>
      <c r="U26" s="169"/>
      <c r="V26" s="170">
        <f ca="1">IF(C26="",NA(),MATCH($B26&amp;$C26,'Smelter Look-up'!$J:$J,0))</f>
        <v>28</v>
      </c>
      <c r="X26" s="171">
        <f t="shared" ca="1" si="1"/>
        <v>0</v>
      </c>
      <c r="AB26" s="171" t="str">
        <f t="shared" ca="1" si="2"/>
        <v>CobaltGanzhou Highpower Technology Co., Ltd.</v>
      </c>
    </row>
    <row r="27" spans="1:28" s="171" customFormat="1" ht="20.25">
      <c r="A27" s="156" t="s">
        <v>259</v>
      </c>
      <c r="B27" s="150" t="str">
        <f ca="1">IF(LEN(A27)=0,"",INDEX('Smelter Look-up'!$A:$A,MATCH($A27,'Smelter Look-up'!$E:$E,0)))</f>
        <v>Cobalt</v>
      </c>
      <c r="C27" s="153" t="str">
        <f ca="1">IF(LEN(A27)=0,"",INDEX('Smelter Look-up'!$C:$C,MATCH($A27,'Smelter Look-up'!$E:$E,0)))</f>
        <v>NORILSK NICKEL HARJAVALTA OY</v>
      </c>
      <c r="D27" s="150"/>
      <c r="E27" s="150" t="str">
        <f ca="1">IF(ISERROR($V27),"",OFFSET('Smelter Look-up'!$D$4,$V27-4,0)&amp;"")</f>
        <v>FINLAND</v>
      </c>
      <c r="F27" s="150" t="str">
        <f ca="1">IF(ISERROR($V27),"",OFFSET('Smelter Look-up'!$E$4,$V27-4,0))</f>
        <v>CID003390</v>
      </c>
      <c r="G27" s="150" t="str">
        <f ca="1">IF(C27=$X$4,"Enter smelter details",IF(ISERROR($V27),"",OFFSET('Smelter Look-up'!$F$4,$V27-4,0)))</f>
        <v>RMI</v>
      </c>
      <c r="H27" s="208">
        <f ca="1">IF(ISERROR($V27),"",OFFSET('Smelter Look-up'!$G$4,$V27-4,0))</f>
        <v>0</v>
      </c>
      <c r="I27" s="209" t="str">
        <f ca="1">IF(ISERROR($V27),"",OFFSET('Smelter Look-up'!$H$4,$V27-4,0))</f>
        <v>Harvjavalta</v>
      </c>
      <c r="J27" s="209" t="str">
        <f ca="1">IF(ISERROR($V27),"",OFFSET('Smelter Look-up'!$I$4,$V27-4,0))</f>
        <v>Satakunta</v>
      </c>
      <c r="K27" s="151"/>
      <c r="L27" s="151"/>
      <c r="M27" s="151"/>
      <c r="N27" s="151"/>
      <c r="O27" s="151"/>
      <c r="P27" s="211"/>
      <c r="Q27" s="152"/>
      <c r="R27" s="150" t="str">
        <f ca="1">IF(ISERROR($V27),"",OFFSET('Smelter Look-up'!$C$4,$V27-4,0)&amp;"")</f>
        <v>NORILSK NICKEL HARJAVALTA OY</v>
      </c>
      <c r="S27" s="156" t="str">
        <f t="shared" ca="1" si="0"/>
        <v>FI</v>
      </c>
      <c r="T27" s="156" t="str">
        <f ca="1">IF(B27="","",IF(ISERROR(MATCH($J27,SorP!$B$1:$B$6226,0)),"",INDIRECT("'SorP'!$A$"&amp;MATCH($S27&amp;$J27,SorP!C:C,0))))</f>
        <v>FI-17</v>
      </c>
      <c r="U27" s="169"/>
      <c r="V27" s="170">
        <f ca="1">IF(C27="",NA(),MATCH($B27&amp;$C27,'Smelter Look-up'!$J:$J,0))</f>
        <v>111</v>
      </c>
      <c r="X27" s="171">
        <f t="shared" ca="1" si="1"/>
        <v>0</v>
      </c>
      <c r="AB27" s="171" t="str">
        <f t="shared" ca="1" si="2"/>
        <v>CobaltNORILSK NICKEL HARJAVALTA OY</v>
      </c>
    </row>
    <row r="28" spans="1:28" s="171" customFormat="1" ht="20.25">
      <c r="A28" s="156" t="s">
        <v>246</v>
      </c>
      <c r="B28" s="150" t="str">
        <f ca="1">IF(LEN(A28)=0,"",INDEX('Smelter Look-up'!$A:$A,MATCH($A28,'Smelter Look-up'!$E:$E,0)))</f>
        <v>Cobalt</v>
      </c>
      <c r="C28" s="153" t="str">
        <f ca="1">IF(LEN(A28)=0,"",INDEX('Smelter Look-up'!$C:$C,MATCH($A28,'Smelter Look-up'!$E:$E,0)))</f>
        <v>Zhejiang New Era Zhongneng Technology Co., Ltd.</v>
      </c>
      <c r="D28" s="150"/>
      <c r="E28" s="150" t="str">
        <f ca="1">IF(ISERROR($V28),"",OFFSET('Smelter Look-up'!$D$4,$V28-4,0)&amp;"")</f>
        <v>CHINA</v>
      </c>
      <c r="F28" s="150" t="str">
        <f ca="1">IF(ISERROR($V28),"",OFFSET('Smelter Look-up'!$E$4,$V28-4,0))</f>
        <v>CID003398</v>
      </c>
      <c r="G28" s="150" t="str">
        <f ca="1">IF(C28=$X$4,"Enter smelter details",IF(ISERROR($V28),"",OFFSET('Smelter Look-up'!$F$4,$V28-4,0)))</f>
        <v>RMI</v>
      </c>
      <c r="H28" s="208">
        <f ca="1">IF(ISERROR($V28),"",OFFSET('Smelter Look-up'!$G$4,$V28-4,0))</f>
        <v>0</v>
      </c>
      <c r="I28" s="209" t="str">
        <f ca="1">IF(ISERROR($V28),"",OFFSET('Smelter Look-up'!$H$4,$V28-4,0))</f>
        <v>Shaoxing</v>
      </c>
      <c r="J28" s="209" t="str">
        <f ca="1">IF(ISERROR($V28),"",OFFSET('Smelter Look-up'!$I$4,$V28-4,0))</f>
        <v>Zhejiang Sheng</v>
      </c>
      <c r="K28" s="151"/>
      <c r="L28" s="151"/>
      <c r="M28" s="151"/>
      <c r="N28" s="151"/>
      <c r="O28" s="151"/>
      <c r="P28" s="211"/>
      <c r="Q28" s="152"/>
      <c r="R28" s="150" t="str">
        <f ca="1">IF(ISERROR($V28),"",OFFSET('Smelter Look-up'!$C$4,$V28-4,0)&amp;"")</f>
        <v>Zhejiang New Era Zhongneng Technology Co., Ltd.</v>
      </c>
      <c r="S28" s="156" t="str">
        <f t="shared" ca="1" si="0"/>
        <v>CN</v>
      </c>
      <c r="T28" s="156" t="str">
        <f ca="1">IF(B28="","",IF(ISERROR(MATCH($J28,SorP!$B$1:$B$6226,0)),"",INDIRECT("'SorP'!$A$"&amp;MATCH($S28&amp;$J28,SorP!C:C,0))))</f>
        <v>CN-ZJ</v>
      </c>
      <c r="U28" s="169"/>
      <c r="V28" s="170">
        <f ca="1">IF(C28="",NA(),MATCH($B28&amp;$C28,'Smelter Look-up'!$J:$J,0))</f>
        <v>152</v>
      </c>
      <c r="X28" s="171">
        <f t="shared" ca="1" si="1"/>
        <v>0</v>
      </c>
      <c r="AB28" s="171" t="str">
        <f t="shared" ca="1" si="2"/>
        <v>CobaltZhejiang New Era Zhongneng Technology Co., Ltd.</v>
      </c>
    </row>
    <row r="29" spans="1:28" s="171" customFormat="1" ht="20.25">
      <c r="A29" s="156" t="s">
        <v>123</v>
      </c>
      <c r="B29" s="150" t="str">
        <f ca="1">IF(LEN(A29)=0,"",INDEX('Smelter Look-up'!$A:$A,MATCH($A29,'Smelter Look-up'!$E:$E,0)))</f>
        <v>Cobalt</v>
      </c>
      <c r="C29" s="153" t="str">
        <f ca="1">IF(LEN(A29)=0,"",INDEX('Smelter Look-up'!$C:$C,MATCH($A29,'Smelter Look-up'!$E:$E,0)))</f>
        <v>Glencore Nikkelverk Refinery</v>
      </c>
      <c r="D29" s="150"/>
      <c r="E29" s="150" t="str">
        <f ca="1">IF(ISERROR($V29),"",OFFSET('Smelter Look-up'!$D$4,$V29-4,0)&amp;"")</f>
        <v>NORWAY</v>
      </c>
      <c r="F29" s="150" t="str">
        <f ca="1">IF(ISERROR($V29),"",OFFSET('Smelter Look-up'!$E$4,$V29-4,0))</f>
        <v>CID003403</v>
      </c>
      <c r="G29" s="150" t="str">
        <f ca="1">IF(C29=$X$4,"Enter smelter details",IF(ISERROR($V29),"",OFFSET('Smelter Look-up'!$F$4,$V29-4,0)))</f>
        <v>RMI</v>
      </c>
      <c r="H29" s="208">
        <f ca="1">IF(ISERROR($V29),"",OFFSET('Smelter Look-up'!$G$4,$V29-4,0))</f>
        <v>0</v>
      </c>
      <c r="I29" s="209" t="str">
        <f ca="1">IF(ISERROR($V29),"",OFFSET('Smelter Look-up'!$H$4,$V29-4,0))</f>
        <v>Kristiansand</v>
      </c>
      <c r="J29" s="209" t="str">
        <f ca="1">IF(ISERROR($V29),"",OFFSET('Smelter Look-up'!$I$4,$V29-4,0))</f>
        <v>Agder</v>
      </c>
      <c r="K29" s="151"/>
      <c r="L29" s="151"/>
      <c r="M29" s="151"/>
      <c r="N29" s="151"/>
      <c r="O29" s="151"/>
      <c r="P29" s="211"/>
      <c r="Q29" s="152"/>
      <c r="R29" s="150" t="str">
        <f ca="1">IF(ISERROR($V29),"",OFFSET('Smelter Look-up'!$C$4,$V29-4,0)&amp;"")</f>
        <v>Glencore Nikkelverk Refinery</v>
      </c>
      <c r="S29" s="156" t="str">
        <f t="shared" ca="1" si="0"/>
        <v>NO</v>
      </c>
      <c r="T29" s="156" t="str">
        <f ca="1">IF(B29="","",IF(ISERROR(MATCH($J29,SorP!$B$1:$B$6226,0)),"",INDIRECT("'SorP'!$A$"&amp;MATCH($S29&amp;$J29,SorP!C:C,0))))</f>
        <v>NO-42</v>
      </c>
      <c r="U29" s="169"/>
      <c r="V29" s="170">
        <f ca="1">IF(C29="",NA(),MATCH($B29&amp;$C29,'Smelter Look-up'!$J:$J,0))</f>
        <v>31</v>
      </c>
      <c r="X29" s="171">
        <f t="shared" ca="1" si="1"/>
        <v>0</v>
      </c>
      <c r="AB29" s="171" t="str">
        <f t="shared" ca="1" si="2"/>
        <v>CobaltGlencore Nikkelverk Refinery</v>
      </c>
    </row>
    <row r="30" spans="1:28" s="171" customFormat="1" ht="20.25">
      <c r="A30" s="156" t="s">
        <v>159</v>
      </c>
      <c r="B30" s="150" t="str">
        <f ca="1">IF(LEN(A30)=0,"",INDEX('Smelter Look-up'!$A:$A,MATCH($A30,'Smelter Look-up'!$E:$E,0)))</f>
        <v>Cobalt</v>
      </c>
      <c r="C30" s="153" t="str">
        <f ca="1">IF(LEN(A30)=0,"",INDEX('Smelter Look-up'!$C:$C,MATCH($A30,'Smelter Look-up'!$E:$E,0)))</f>
        <v>Hunan Yacheng New Materials Co., Ltd.</v>
      </c>
      <c r="D30" s="150"/>
      <c r="E30" s="150" t="str">
        <f ca="1">IF(ISERROR($V30),"",OFFSET('Smelter Look-up'!$D$4,$V30-4,0)&amp;"")</f>
        <v>CHINA</v>
      </c>
      <c r="F30" s="150" t="str">
        <f ca="1">IF(ISERROR($V30),"",OFFSET('Smelter Look-up'!$E$4,$V30-4,0))</f>
        <v>CID003404</v>
      </c>
      <c r="G30" s="150" t="str">
        <f ca="1">IF(C30=$X$4,"Enter smelter details",IF(ISERROR($V30),"",OFFSET('Smelter Look-up'!$F$4,$V30-4,0)))</f>
        <v>RMI</v>
      </c>
      <c r="H30" s="208">
        <f ca="1">IF(ISERROR($V30),"",OFFSET('Smelter Look-up'!$G$4,$V30-4,0))</f>
        <v>0</v>
      </c>
      <c r="I30" s="209" t="str">
        <f ca="1">IF(ISERROR($V30),"",OFFSET('Smelter Look-up'!$H$4,$V30-4,0))</f>
        <v>Changsha</v>
      </c>
      <c r="J30" s="209" t="str">
        <f ca="1">IF(ISERROR($V30),"",OFFSET('Smelter Look-up'!$I$4,$V30-4,0))</f>
        <v>Hunan Sheng</v>
      </c>
      <c r="K30" s="151"/>
      <c r="L30" s="151"/>
      <c r="M30" s="151"/>
      <c r="N30" s="151"/>
      <c r="O30" s="151"/>
      <c r="P30" s="211"/>
      <c r="Q30" s="152"/>
      <c r="R30" s="150" t="str">
        <f ca="1">IF(ISERROR($V30),"",OFFSET('Smelter Look-up'!$C$4,$V30-4,0)&amp;"")</f>
        <v>Hunan Yacheng New Materials Co., Ltd.</v>
      </c>
      <c r="S30" s="156" t="str">
        <f t="shared" ca="1" si="0"/>
        <v>CN</v>
      </c>
      <c r="T30" s="156" t="str">
        <f ca="1">IF(B30="","",IF(ISERROR(MATCH($J30,SorP!$B$1:$B$6226,0)),"",INDIRECT("'SorP'!$A$"&amp;MATCH($S30&amp;$J30,SorP!C:C,0))))</f>
        <v>CN-HN</v>
      </c>
      <c r="U30" s="169"/>
      <c r="V30" s="170">
        <f ca="1">IF(C30="",NA(),MATCH($B30&amp;$C30,'Smelter Look-up'!$J:$J,0))</f>
        <v>47</v>
      </c>
      <c r="X30" s="171">
        <f t="shared" ca="1" si="1"/>
        <v>0</v>
      </c>
      <c r="AB30" s="171" t="str">
        <f t="shared" ca="1" si="2"/>
        <v>CobaltHunan Yacheng New Materials Co., Ltd.</v>
      </c>
    </row>
    <row r="31" spans="1:28" s="171" customFormat="1" ht="20.25">
      <c r="A31" s="156" t="s">
        <v>226</v>
      </c>
      <c r="B31" s="150" t="str">
        <f ca="1">IF(LEN(A31)=0,"",INDEX('Smelter Look-up'!$A:$A,MATCH($A31,'Smelter Look-up'!$E:$E,0)))</f>
        <v>Cobalt</v>
      </c>
      <c r="C31" s="153" t="str">
        <f ca="1">IF(LEN(A31)=0,"",INDEX('Smelter Look-up'!$C:$C,MATCH($A31,'Smelter Look-up'!$E:$E,0)))</f>
        <v>Murrin Murrin Nickel Cobalt Plant</v>
      </c>
      <c r="D31" s="150"/>
      <c r="E31" s="150" t="str">
        <f ca="1">IF(ISERROR($V31),"",OFFSET('Smelter Look-up'!$D$4,$V31-4,0)&amp;"")</f>
        <v>AUSTRALIA</v>
      </c>
      <c r="F31" s="150" t="str">
        <f ca="1">IF(ISERROR($V31),"",OFFSET('Smelter Look-up'!$E$4,$V31-4,0))</f>
        <v>CID003406</v>
      </c>
      <c r="G31" s="150" t="str">
        <f ca="1">IF(C31=$X$4,"Enter smelter details",IF(ISERROR($V31),"",OFFSET('Smelter Look-up'!$F$4,$V31-4,0)))</f>
        <v>RMI</v>
      </c>
      <c r="H31" s="208">
        <f ca="1">IF(ISERROR($V31),"",OFFSET('Smelter Look-up'!$G$4,$V31-4,0))</f>
        <v>0</v>
      </c>
      <c r="I31" s="209" t="str">
        <f ca="1">IF(ISERROR($V31),"",OFFSET('Smelter Look-up'!$H$4,$V31-4,0))</f>
        <v>Laverton</v>
      </c>
      <c r="J31" s="209" t="str">
        <f ca="1">IF(ISERROR($V31),"",OFFSET('Smelter Look-up'!$I$4,$V31-4,0))</f>
        <v>Western Australia</v>
      </c>
      <c r="K31" s="151"/>
      <c r="L31" s="151"/>
      <c r="M31" s="151"/>
      <c r="N31" s="151"/>
      <c r="O31" s="151"/>
      <c r="P31" s="211"/>
      <c r="Q31" s="152"/>
      <c r="R31" s="150" t="str">
        <f ca="1">IF(ISERROR($V31),"",OFFSET('Smelter Look-up'!$C$4,$V31-4,0)&amp;"")</f>
        <v>Murrin Murrin Nickel Cobalt Plant</v>
      </c>
      <c r="S31" s="156" t="str">
        <f t="shared" ca="1" si="0"/>
        <v>AU</v>
      </c>
      <c r="T31" s="156" t="str">
        <f ca="1">IF(B31="","",IF(ISERROR(MATCH($J31,SorP!$B$1:$B$6226,0)),"",INDIRECT("'SorP'!$A$"&amp;MATCH($S31&amp;$J31,SorP!C:C,0))))</f>
        <v>AU-WA</v>
      </c>
      <c r="U31" s="169"/>
      <c r="V31" s="170">
        <f ca="1">IF(C31="",NA(),MATCH($B31&amp;$C31,'Smelter Look-up'!$J:$J,0))</f>
        <v>94</v>
      </c>
      <c r="X31" s="171">
        <f t="shared" ca="1" si="1"/>
        <v>0</v>
      </c>
      <c r="AB31" s="171" t="str">
        <f t="shared" ca="1" si="2"/>
        <v>CobaltMurrin Murrin Nickel Cobalt Plant</v>
      </c>
    </row>
    <row r="32" spans="1:28" s="171" customFormat="1" ht="20.25">
      <c r="A32" s="156" t="s">
        <v>151</v>
      </c>
      <c r="B32" s="150" t="str">
        <f ca="1">IF(LEN(A32)=0,"",INDEX('Smelter Look-up'!$A:$A,MATCH($A32,'Smelter Look-up'!$E:$E,0)))</f>
        <v>Cobalt</v>
      </c>
      <c r="C32" s="153" t="str">
        <f ca="1">IF(LEN(A32)=0,"",INDEX('Smelter Look-up'!$C:$C,MATCH($A32,'Smelter Look-up'!$E:$E,0)))</f>
        <v>Hunan CNGR New Energy Science &amp; Technology Co., Ltd.</v>
      </c>
      <c r="D32" s="150"/>
      <c r="E32" s="150" t="str">
        <f ca="1">IF(ISERROR($V32),"",OFFSET('Smelter Look-up'!$D$4,$V32-4,0)&amp;"")</f>
        <v>CHINA</v>
      </c>
      <c r="F32" s="150" t="str">
        <f ca="1">IF(ISERROR($V32),"",OFFSET('Smelter Look-up'!$E$4,$V32-4,0))</f>
        <v>CID003411</v>
      </c>
      <c r="G32" s="150" t="str">
        <f ca="1">IF(C32=$X$4,"Enter smelter details",IF(ISERROR($V32),"",OFFSET('Smelter Look-up'!$F$4,$V32-4,0)))</f>
        <v>RMI</v>
      </c>
      <c r="H32" s="208">
        <f ca="1">IF(ISERROR($V32),"",OFFSET('Smelter Look-up'!$G$4,$V32-4,0))</f>
        <v>0</v>
      </c>
      <c r="I32" s="209" t="str">
        <f ca="1">IF(ISERROR($V32),"",OFFSET('Smelter Look-up'!$H$4,$V32-4,0))</f>
        <v>Changsha</v>
      </c>
      <c r="J32" s="209" t="str">
        <f ca="1">IF(ISERROR($V32),"",OFFSET('Smelter Look-up'!$I$4,$V32-4,0))</f>
        <v>Hunan Sheng</v>
      </c>
      <c r="K32" s="151"/>
      <c r="L32" s="151"/>
      <c r="M32" s="151"/>
      <c r="N32" s="151"/>
      <c r="O32" s="151"/>
      <c r="P32" s="211"/>
      <c r="Q32" s="152"/>
      <c r="R32" s="150" t="str">
        <f ca="1">IF(ISERROR($V32),"",OFFSET('Smelter Look-up'!$C$4,$V32-4,0)&amp;"")</f>
        <v>Hunan CNGR New Energy Science &amp; Technology Co., Ltd.</v>
      </c>
      <c r="S32" s="156" t="str">
        <f t="shared" ca="1" si="0"/>
        <v>CN</v>
      </c>
      <c r="T32" s="156" t="str">
        <f ca="1">IF(B32="","",IF(ISERROR(MATCH($J32,SorP!$B$1:$B$6226,0)),"",INDIRECT("'SorP'!$A$"&amp;MATCH($S32&amp;$J32,SorP!C:C,0))))</f>
        <v>CN-HN</v>
      </c>
      <c r="U32" s="169"/>
      <c r="V32" s="170">
        <f ca="1">IF(C32="",NA(),MATCH($B32&amp;$C32,'Smelter Look-up'!$J:$J,0))</f>
        <v>42</v>
      </c>
      <c r="X32" s="171">
        <f t="shared" ca="1" si="1"/>
        <v>0</v>
      </c>
      <c r="AB32" s="171" t="str">
        <f t="shared" ca="1" si="2"/>
        <v>CobaltHunan CNGR New Energy Science &amp; Technology Co., Ltd.</v>
      </c>
    </row>
    <row r="33" spans="1:28" s="171" customFormat="1" ht="20.25">
      <c r="A33" s="156" t="s">
        <v>88</v>
      </c>
      <c r="B33" s="150" t="str">
        <f ca="1">IF(LEN(A33)=0,"",INDEX('Smelter Look-up'!$A:$A,MATCH($A33,'Smelter Look-up'!$E:$E,0)))</f>
        <v>Cobalt</v>
      </c>
      <c r="C33" s="153" t="str">
        <f ca="1">IF(LEN(A33)=0,"",INDEX('Smelter Look-up'!$C:$C,MATCH($A33,'Smelter Look-up'!$E:$E,0)))</f>
        <v>Cosmo Chemical, Ltd.</v>
      </c>
      <c r="D33" s="150"/>
      <c r="E33" s="150" t="str">
        <f ca="1">IF(ISERROR($V33),"",OFFSET('Smelter Look-up'!$D$4,$V33-4,0)&amp;"")</f>
        <v>KOREA, REPUBLIC OF</v>
      </c>
      <c r="F33" s="150" t="str">
        <f ca="1">IF(ISERROR($V33),"",OFFSET('Smelter Look-up'!$E$4,$V33-4,0))</f>
        <v>CID003415</v>
      </c>
      <c r="G33" s="150" t="str">
        <f ca="1">IF(C33=$X$4,"Enter smelter details",IF(ISERROR($V33),"",OFFSET('Smelter Look-up'!$F$4,$V33-4,0)))</f>
        <v>RMI</v>
      </c>
      <c r="H33" s="208">
        <f ca="1">IF(ISERROR($V33),"",OFFSET('Smelter Look-up'!$G$4,$V33-4,0))</f>
        <v>0</v>
      </c>
      <c r="I33" s="209" t="str">
        <f ca="1">IF(ISERROR($V33),"",OFFSET('Smelter Look-up'!$H$4,$V33-4,0))</f>
        <v>Ulsan</v>
      </c>
      <c r="J33" s="209" t="str">
        <f ca="1">IF(ISERROR($V33),"",OFFSET('Smelter Look-up'!$I$4,$V33-4,0))</f>
        <v>Gyeongsangnam-do</v>
      </c>
      <c r="K33" s="151"/>
      <c r="L33" s="151"/>
      <c r="M33" s="151"/>
      <c r="N33" s="151"/>
      <c r="O33" s="151"/>
      <c r="P33" s="211"/>
      <c r="Q33" s="152"/>
      <c r="R33" s="150" t="str">
        <f ca="1">IF(ISERROR($V33),"",OFFSET('Smelter Look-up'!$C$4,$V33-4,0)&amp;"")</f>
        <v>Cosmo Chemical, Ltd.</v>
      </c>
      <c r="S33" s="156" t="str">
        <f t="shared" ca="1" si="0"/>
        <v>KR</v>
      </c>
      <c r="T33" s="156" t="str">
        <f ca="1">IF(B33="","",IF(ISERROR(MATCH($J33,SorP!$B$1:$B$6226,0)),"",INDIRECT("'SorP'!$A$"&amp;MATCH($S33&amp;$J33,SorP!C:C,0))))</f>
        <v>KR-48</v>
      </c>
      <c r="U33" s="169"/>
      <c r="V33" s="170">
        <f ca="1">IF(C33="",NA(),MATCH($B33&amp;$C33,'Smelter Look-up'!$J:$J,0))</f>
        <v>14</v>
      </c>
      <c r="X33" s="171">
        <f t="shared" ca="1" si="1"/>
        <v>0</v>
      </c>
      <c r="AB33" s="171" t="str">
        <f t="shared" ca="1" si="2"/>
        <v>CobaltCosmo Chemical, Ltd.</v>
      </c>
    </row>
    <row r="34" spans="1:28" s="171" customFormat="1" ht="20.25">
      <c r="A34" s="156" t="s">
        <v>83</v>
      </c>
      <c r="B34" s="150" t="str">
        <f ca="1">IF(LEN(A34)=0,"",INDEX('Smelter Look-up'!$A:$A,MATCH($A34,'Smelter Look-up'!$E:$E,0)))</f>
        <v>Cobalt</v>
      </c>
      <c r="C34" s="153" t="str">
        <f ca="1">IF(LEN(A34)=0,"",INDEX('Smelter Look-up'!$C:$C,MATCH($A34,'Smelter Look-up'!$E:$E,0)))</f>
        <v>CoreMax Corporation</v>
      </c>
      <c r="D34" s="150"/>
      <c r="E34" s="150" t="str">
        <f ca="1">IF(ISERROR($V34),"",OFFSET('Smelter Look-up'!$D$4,$V34-4,0)&amp;"")</f>
        <v>TAIWAN, PROVINCE OF CHINA</v>
      </c>
      <c r="F34" s="150" t="str">
        <f ca="1">IF(ISERROR($V34),"",OFFSET('Smelter Look-up'!$E$4,$V34-4,0))</f>
        <v>CID003473</v>
      </c>
      <c r="G34" s="150" t="str">
        <f ca="1">IF(C34=$X$4,"Enter smelter details",IF(ISERROR($V34),"",OFFSET('Smelter Look-up'!$F$4,$V34-4,0)))</f>
        <v>RMI</v>
      </c>
      <c r="H34" s="208">
        <f ca="1">IF(ISERROR($V34),"",OFFSET('Smelter Look-up'!$G$4,$V34-4,0))</f>
        <v>0</v>
      </c>
      <c r="I34" s="209" t="str">
        <f ca="1">IF(ISERROR($V34),"",OFFSET('Smelter Look-up'!$H$4,$V34-4,0))</f>
        <v>Toufen</v>
      </c>
      <c r="J34" s="209" t="str">
        <f ca="1">IF(ISERROR($V34),"",OFFSET('Smelter Look-up'!$I$4,$V34-4,0))</f>
        <v>Miaoli</v>
      </c>
      <c r="K34" s="151"/>
      <c r="L34" s="151"/>
      <c r="M34" s="151"/>
      <c r="N34" s="151"/>
      <c r="O34" s="151"/>
      <c r="P34" s="211"/>
      <c r="Q34" s="152"/>
      <c r="R34" s="150" t="str">
        <f ca="1">IF(ISERROR($V34),"",OFFSET('Smelter Look-up'!$C$4,$V34-4,0)&amp;"")</f>
        <v>CoreMax Corporation</v>
      </c>
      <c r="S34" s="156" t="str">
        <f t="shared" ca="1" si="0"/>
        <v>TW</v>
      </c>
      <c r="T34" s="156" t="str">
        <f ca="1">IF(B34="","",IF(ISERROR(MATCH($J34,SorP!$B$1:$B$6226,0)),"",INDIRECT("'SorP'!$A$"&amp;MATCH($S34&amp;$J34,SorP!C:C,0))))</f>
        <v>TW-MIA</v>
      </c>
      <c r="U34" s="169"/>
      <c r="V34" s="170">
        <f ca="1">IF(C34="",NA(),MATCH($B34&amp;$C34,'Smelter Look-up'!$J:$J,0))</f>
        <v>13</v>
      </c>
      <c r="X34" s="171">
        <f t="shared" ca="1" si="1"/>
        <v>0</v>
      </c>
      <c r="AB34" s="171" t="str">
        <f t="shared" ca="1" si="2"/>
        <v>CobaltCoreMax Corporation</v>
      </c>
    </row>
    <row r="35" spans="1:28" s="171" customFormat="1" ht="20.25">
      <c r="A35" s="156" t="s">
        <v>72</v>
      </c>
      <c r="B35" s="150" t="str">
        <f ca="1">IF(LEN(A35)=0,"",INDEX('Smelter Look-up'!$A:$A,MATCH($A35,'Smelter Look-up'!$E:$E,0)))</f>
        <v>Cobalt</v>
      </c>
      <c r="C35" s="153" t="str">
        <f ca="1">IF(LEN(A35)=0,"",INDEX('Smelter Look-up'!$C:$C,MATCH($A35,'Smelter Look-up'!$E:$E,0)))</f>
        <v>Chizhou CN New Materials and Technology Co., Ltd.</v>
      </c>
      <c r="D35" s="150"/>
      <c r="E35" s="150" t="str">
        <f ca="1">IF(ISERROR($V35),"",OFFSET('Smelter Look-up'!$D$4,$V35-4,0)&amp;"")</f>
        <v>CHINA</v>
      </c>
      <c r="F35" s="150" t="str">
        <f ca="1">IF(ISERROR($V35),"",OFFSET('Smelter Look-up'!$E$4,$V35-4,0))</f>
        <v>CID003481</v>
      </c>
      <c r="G35" s="150" t="str">
        <f ca="1">IF(C35=$X$4,"Enter smelter details",IF(ISERROR($V35),"",OFFSET('Smelter Look-up'!$F$4,$V35-4,0)))</f>
        <v>RMI</v>
      </c>
      <c r="H35" s="208">
        <f ca="1">IF(ISERROR($V35),"",OFFSET('Smelter Look-up'!$G$4,$V35-4,0))</f>
        <v>0</v>
      </c>
      <c r="I35" s="209" t="str">
        <f ca="1">IF(ISERROR($V35),"",OFFSET('Smelter Look-up'!$H$4,$V35-4,0))</f>
        <v>Chizhou</v>
      </c>
      <c r="J35" s="209" t="str">
        <f ca="1">IF(ISERROR($V35),"",OFFSET('Smelter Look-up'!$I$4,$V35-4,0))</f>
        <v>Anhui Sheng</v>
      </c>
      <c r="K35" s="151"/>
      <c r="L35" s="151"/>
      <c r="M35" s="151"/>
      <c r="N35" s="151"/>
      <c r="O35" s="151"/>
      <c r="P35" s="211"/>
      <c r="Q35" s="152"/>
      <c r="R35" s="150" t="str">
        <f ca="1">IF(ISERROR($V35),"",OFFSET('Smelter Look-up'!$C$4,$V35-4,0)&amp;"")</f>
        <v>Chizhou CN New Materials and Technology Co., Ltd.</v>
      </c>
      <c r="S35" s="156" t="str">
        <f t="shared" ca="1" si="0"/>
        <v>CN</v>
      </c>
      <c r="T35" s="156" t="str">
        <f ca="1">IF(B35="","",IF(ISERROR(MATCH($J35,SorP!$B$1:$B$6226,0)),"",INDIRECT("'SorP'!$A$"&amp;MATCH($S35&amp;$J35,SorP!C:C,0))))</f>
        <v>CN-AH</v>
      </c>
      <c r="U35" s="169"/>
      <c r="V35" s="170">
        <f ca="1">IF(C35="",NA(),MATCH($B35&amp;$C35,'Smelter Look-up'!$J:$J,0))</f>
        <v>9</v>
      </c>
      <c r="X35" s="171">
        <f t="shared" ca="1" si="1"/>
        <v>0</v>
      </c>
      <c r="AB35" s="171" t="str">
        <f t="shared" ca="1" si="2"/>
        <v>CobaltChizhou CN New Materials and Technology Co., Ltd.</v>
      </c>
    </row>
    <row r="36" spans="1:28" s="171" customFormat="1" ht="20.25">
      <c r="A36" s="156" t="s">
        <v>317</v>
      </c>
      <c r="B36" s="150" t="str">
        <f ca="1">IF(LEN(A36)=0,"",INDEX('Smelter Look-up'!$A:$A,MATCH($A36,'Smelter Look-up'!$E:$E,0)))</f>
        <v>Cobalt</v>
      </c>
      <c r="C36" s="153" t="str">
        <f ca="1">IF(LEN(A36)=0,"",INDEX('Smelter Look-up'!$C:$C,MATCH($A36,'Smelter Look-up'!$E:$E,0)))</f>
        <v>Zhejiang Greatpower Cobalt Materials Co., Ltd.</v>
      </c>
      <c r="D36" s="150"/>
      <c r="E36" s="150" t="str">
        <f ca="1">IF(ISERROR($V36),"",OFFSET('Smelter Look-up'!$D$4,$V36-4,0)&amp;"")</f>
        <v>CHINA</v>
      </c>
      <c r="F36" s="150" t="str">
        <f ca="1">IF(ISERROR($V36),"",OFFSET('Smelter Look-up'!$E$4,$V36-4,0))</f>
        <v>CID003526</v>
      </c>
      <c r="G36" s="150" t="str">
        <f ca="1">IF(C36=$X$4,"Enter smelter details",IF(ISERROR($V36),"",OFFSET('Smelter Look-up'!$F$4,$V36-4,0)))</f>
        <v>RMI</v>
      </c>
      <c r="H36" s="208">
        <f ca="1">IF(ISERROR($V36),"",OFFSET('Smelter Look-up'!$G$4,$V36-4,0))</f>
        <v>0</v>
      </c>
      <c r="I36" s="209" t="str">
        <f ca="1">IF(ISERROR($V36),"",OFFSET('Smelter Look-up'!$H$4,$V36-4,0))</f>
        <v>Shaoxing</v>
      </c>
      <c r="J36" s="209" t="str">
        <f ca="1">IF(ISERROR($V36),"",OFFSET('Smelter Look-up'!$I$4,$V36-4,0))</f>
        <v>Zhejiang Sheng</v>
      </c>
      <c r="K36" s="151"/>
      <c r="L36" s="151"/>
      <c r="M36" s="151"/>
      <c r="N36" s="151"/>
      <c r="O36" s="151"/>
      <c r="P36" s="211"/>
      <c r="Q36" s="152"/>
      <c r="R36" s="150" t="str">
        <f ca="1">IF(ISERROR($V36),"",OFFSET('Smelter Look-up'!$C$4,$V36-4,0)&amp;"")</f>
        <v>Zhejiang Greatpower Cobalt Materials Co., Ltd.</v>
      </c>
      <c r="S36" s="156" t="str">
        <f t="shared" ca="1" si="0"/>
        <v>CN</v>
      </c>
      <c r="T36" s="156" t="str">
        <f ca="1">IF(B36="","",IF(ISERROR(MATCH($J36,SorP!$B$1:$B$6226,0)),"",INDIRECT("'SorP'!$A$"&amp;MATCH($S36&amp;$J36,SorP!C:C,0))))</f>
        <v>CN-ZJ</v>
      </c>
      <c r="U36" s="169"/>
      <c r="V36" s="170">
        <f ca="1">IF(C36="",NA(),MATCH($B36&amp;$C36,'Smelter Look-up'!$J:$J,0))</f>
        <v>149</v>
      </c>
      <c r="X36" s="171">
        <f t="shared" ca="1" si="1"/>
        <v>0</v>
      </c>
      <c r="AB36" s="171" t="str">
        <f t="shared" ca="1" si="2"/>
        <v>CobaltZhejiang Greatpower Cobalt Materials Co., Ltd.</v>
      </c>
    </row>
    <row r="37" spans="1:28" s="171" customFormat="1" ht="20.25">
      <c r="A37" s="156" t="s">
        <v>218</v>
      </c>
      <c r="B37" s="150" t="str">
        <f ca="1">IF(LEN(A37)=0,"",INDEX('Smelter Look-up'!$A:$A,MATCH($A37,'Smelter Look-up'!$E:$E,0)))</f>
        <v>Cobalt</v>
      </c>
      <c r="C37" s="153" t="str">
        <f ca="1">IF(LEN(A37)=0,"",INDEX('Smelter Look-up'!$C:$C,MATCH($A37,'Smelter Look-up'!$E:$E,0)))</f>
        <v>Mechema Taiwan Plant 2</v>
      </c>
      <c r="D37" s="150"/>
      <c r="E37" s="150" t="str">
        <f ca="1">IF(ISERROR($V37),"",OFFSET('Smelter Look-up'!$D$4,$V37-4,0)&amp;"")</f>
        <v>TAIWAN, PROVINCE OF CHINA</v>
      </c>
      <c r="F37" s="150" t="str">
        <f ca="1">IF(ISERROR($V37),"",OFFSET('Smelter Look-up'!$E$4,$V37-4,0))</f>
        <v>CID003534</v>
      </c>
      <c r="G37" s="150" t="str">
        <f ca="1">IF(C37=$X$4,"Enter smelter details",IF(ISERROR($V37),"",OFFSET('Smelter Look-up'!$F$4,$V37-4,0)))</f>
        <v>RMI</v>
      </c>
      <c r="H37" s="208">
        <f ca="1">IF(ISERROR($V37),"",OFFSET('Smelter Look-up'!$G$4,$V37-4,0))</f>
        <v>0</v>
      </c>
      <c r="I37" s="209" t="str">
        <f ca="1">IF(ISERROR($V37),"",OFFSET('Smelter Look-up'!$H$4,$V37-4,0))</f>
        <v>Taoyuan</v>
      </c>
      <c r="J37" s="209" t="str">
        <f ca="1">IF(ISERROR($V37),"",OFFSET('Smelter Look-up'!$I$4,$V37-4,0))</f>
        <v>Taoyuan</v>
      </c>
      <c r="K37" s="151"/>
      <c r="L37" s="151"/>
      <c r="M37" s="151"/>
      <c r="N37" s="151"/>
      <c r="O37" s="151"/>
      <c r="P37" s="211"/>
      <c r="Q37" s="152"/>
      <c r="R37" s="150" t="str">
        <f ca="1">IF(ISERROR($V37),"",OFFSET('Smelter Look-up'!$C$4,$V37-4,0)&amp;"")</f>
        <v>Mechema Taiwan Plant 2</v>
      </c>
      <c r="S37" s="156" t="str">
        <f t="shared" ca="1" si="0"/>
        <v>TW</v>
      </c>
      <c r="T37" s="156" t="str">
        <f ca="1">IF(B37="","",IF(ISERROR(MATCH($J37,SorP!$B$1:$B$6226,0)),"",INDIRECT("'SorP'!$A$"&amp;MATCH($S37&amp;$J37,SorP!C:C,0))))</f>
        <v>TW-TAO</v>
      </c>
      <c r="U37" s="169"/>
      <c r="V37" s="170">
        <f ca="1">IF(C37="",NA(),MATCH($B37&amp;$C37,'Smelter Look-up'!$J:$J,0))</f>
        <v>85</v>
      </c>
      <c r="X37" s="171">
        <f t="shared" ca="1" si="1"/>
        <v>0</v>
      </c>
      <c r="AB37" s="171" t="str">
        <f t="shared" ca="1" si="2"/>
        <v>CobaltMechema Taiwan Plant 2</v>
      </c>
    </row>
    <row r="38" spans="1:28" s="171" customFormat="1" ht="20.25">
      <c r="A38" s="156" t="s">
        <v>140</v>
      </c>
      <c r="B38" s="150" t="str">
        <f ca="1">IF(LEN(A38)=0,"",INDEX('Smelter Look-up'!$A:$A,MATCH($A38,'Smelter Look-up'!$E:$E,0)))</f>
        <v>Cobalt</v>
      </c>
      <c r="C38" s="153" t="str">
        <f ca="1">IF(LEN(A38)=0,"",INDEX('Smelter Look-up'!$C:$C,MATCH($A38,'Smelter Look-up'!$E:$E,0)))</f>
        <v>Harima Refinery, Sumitomo Metal Mining</v>
      </c>
      <c r="D38" s="150"/>
      <c r="E38" s="150" t="str">
        <f ca="1">IF(ISERROR($V38),"",OFFSET('Smelter Look-up'!$D$4,$V38-4,0)&amp;"")</f>
        <v>JAPAN</v>
      </c>
      <c r="F38" s="150" t="str">
        <f ca="1">IF(ISERROR($V38),"",OFFSET('Smelter Look-up'!$E$4,$V38-4,0))</f>
        <v>CID003577</v>
      </c>
      <c r="G38" s="150" t="str">
        <f ca="1">IF(C38=$X$4,"Enter smelter details",IF(ISERROR($V38),"",OFFSET('Smelter Look-up'!$F$4,$V38-4,0)))</f>
        <v>RMI</v>
      </c>
      <c r="H38" s="208">
        <f ca="1">IF(ISERROR($V38),"",OFFSET('Smelter Look-up'!$G$4,$V38-4,0))</f>
        <v>0</v>
      </c>
      <c r="I38" s="209" t="str">
        <f ca="1">IF(ISERROR($V38),"",OFFSET('Smelter Look-up'!$H$4,$V38-4,0))</f>
        <v>Kako-gun</v>
      </c>
      <c r="J38" s="209" t="str">
        <f ca="1">IF(ISERROR($V38),"",OFFSET('Smelter Look-up'!$I$4,$V38-4,0))</f>
        <v>Hyogo</v>
      </c>
      <c r="K38" s="151"/>
      <c r="L38" s="151"/>
      <c r="M38" s="151"/>
      <c r="N38" s="151"/>
      <c r="O38" s="151"/>
      <c r="P38" s="211"/>
      <c r="Q38" s="152"/>
      <c r="R38" s="150" t="str">
        <f ca="1">IF(ISERROR($V38),"",OFFSET('Smelter Look-up'!$C$4,$V38-4,0)&amp;"")</f>
        <v>Harima Refinery, Sumitomo Metal Mining</v>
      </c>
      <c r="S38" s="156" t="str">
        <f t="shared" ca="1" si="0"/>
        <v>JP</v>
      </c>
      <c r="T38" s="156" t="str">
        <f ca="1">IF(B38="","",IF(ISERROR(MATCH($J38,SorP!$B$1:$B$6226,0)),"",INDIRECT("'SorP'!$A$"&amp;MATCH($S38&amp;$J38,SorP!C:C,0))))</f>
        <v>JP-28</v>
      </c>
      <c r="U38" s="169"/>
      <c r="V38" s="170">
        <f ca="1">IF(C38="",NA(),MATCH($B38&amp;$C38,'Smelter Look-up'!$J:$J,0))</f>
        <v>39</v>
      </c>
      <c r="X38" s="171">
        <f t="shared" ca="1" si="1"/>
        <v>0</v>
      </c>
      <c r="AB38" s="171" t="str">
        <f t="shared" ca="1" si="2"/>
        <v>CobaltHarima Refinery, Sumitomo Metal Mining</v>
      </c>
    </row>
    <row r="39" spans="1:28" s="171" customFormat="1" ht="20.25">
      <c r="A39" s="156" t="s">
        <v>134</v>
      </c>
      <c r="B39" s="150" t="str">
        <f ca="1">IF(LEN(A39)=0,"",INDEX('Smelter Look-up'!$A:$A,MATCH($A39,'Smelter Look-up'!$E:$E,0)))</f>
        <v>Cobalt</v>
      </c>
      <c r="C39" s="153" t="str">
        <f ca="1">IF(LEN(A39)=0,"",INDEX('Smelter Look-up'!$C:$C,MATCH($A39,'Smelter Look-up'!$E:$E,0)))</f>
        <v>Guizhou CNGR Resource Recycling Industry Development Co., Ltd.</v>
      </c>
      <c r="D39" s="150"/>
      <c r="E39" s="150" t="str">
        <f ca="1">IF(ISERROR($V39),"",OFFSET('Smelter Look-up'!$D$4,$V39-4,0)&amp;"")</f>
        <v>CHINA</v>
      </c>
      <c r="F39" s="150" t="str">
        <f ca="1">IF(ISERROR($V39),"",OFFSET('Smelter Look-up'!$E$4,$V39-4,0))</f>
        <v>CID003610</v>
      </c>
      <c r="G39" s="150" t="str">
        <f ca="1">IF(C39=$X$4,"Enter smelter details",IF(ISERROR($V39),"",OFFSET('Smelter Look-up'!$F$4,$V39-4,0)))</f>
        <v>RMI</v>
      </c>
      <c r="H39" s="208">
        <f ca="1">IF(ISERROR($V39),"",OFFSET('Smelter Look-up'!$G$4,$V39-4,0))</f>
        <v>0</v>
      </c>
      <c r="I39" s="209" t="str">
        <f ca="1">IF(ISERROR($V39),"",OFFSET('Smelter Look-up'!$H$4,$V39-4,0))</f>
        <v>Tongren</v>
      </c>
      <c r="J39" s="209" t="str">
        <f ca="1">IF(ISERROR($V39),"",OFFSET('Smelter Look-up'!$I$4,$V39-4,0))</f>
        <v>Guizhou Sheng</v>
      </c>
      <c r="K39" s="151"/>
      <c r="L39" s="151"/>
      <c r="M39" s="151"/>
      <c r="N39" s="151"/>
      <c r="O39" s="151"/>
      <c r="P39" s="211"/>
      <c r="Q39" s="152"/>
      <c r="R39" s="150" t="str">
        <f ca="1">IF(ISERROR($V39),"",OFFSET('Smelter Look-up'!$C$4,$V39-4,0)&amp;"")</f>
        <v>Guizhou CNGR Resource Recycling Industry Development Co., Ltd.</v>
      </c>
      <c r="S39" s="156" t="str">
        <f t="shared" ca="1" si="0"/>
        <v>CN</v>
      </c>
      <c r="T39" s="156" t="str">
        <f ca="1">IF(B39="","",IF(ISERROR(MATCH($J39,SorP!$B$1:$B$6226,0)),"",INDIRECT("'SorP'!$A$"&amp;MATCH($S39&amp;$J39,SorP!C:C,0))))</f>
        <v>CN-GZ</v>
      </c>
      <c r="U39" s="169"/>
      <c r="V39" s="170">
        <f ca="1">IF(C39="",NA(),MATCH($B39&amp;$C39,'Smelter Look-up'!$J:$J,0))</f>
        <v>36</v>
      </c>
      <c r="X39" s="171">
        <f t="shared" ca="1" si="1"/>
        <v>0</v>
      </c>
      <c r="AB39" s="171" t="str">
        <f t="shared" ca="1" si="2"/>
        <v>CobaltGuizhou CNGR Resource Recycling Industry Development Co., Ltd.</v>
      </c>
    </row>
    <row r="40" spans="1:28" s="171" customFormat="1" ht="20.25">
      <c r="A40" s="156" t="s">
        <v>12528</v>
      </c>
      <c r="B40" s="150" t="str">
        <f ca="1">IF(LEN(A40)=0,"",INDEX('Smelter Look-up'!$A:$A,MATCH($A40,'Smelter Look-up'!$E:$E,0)))</f>
        <v>Cobalt</v>
      </c>
      <c r="C40" s="153" t="str">
        <f ca="1">IF(LEN(A40)=0,"",INDEX('Smelter Look-up'!$C:$C,MATCH($A40,'Smelter Look-up'!$E:$E,0)))</f>
        <v>Anhui Hanrui New Material Co., Ltd.</v>
      </c>
      <c r="D40" s="150"/>
      <c r="E40" s="150" t="str">
        <f ca="1">IF(ISERROR($V40),"",OFFSET('Smelter Look-up'!$D$4,$V40-4,0)&amp;"")</f>
        <v>CHINA</v>
      </c>
      <c r="F40" s="150" t="str">
        <f ca="1">IF(ISERROR($V40),"",OFFSET('Smelter Look-up'!$E$4,$V40-4,0))</f>
        <v>CID003927</v>
      </c>
      <c r="G40" s="150" t="str">
        <f ca="1">IF(C40=$X$4,"Enter smelter details",IF(ISERROR($V40),"",OFFSET('Smelter Look-up'!$F$4,$V40-4,0)))</f>
        <v>RMI</v>
      </c>
      <c r="H40" s="208">
        <f ca="1">IF(ISERROR($V40),"",OFFSET('Smelter Look-up'!$G$4,$V40-4,0))</f>
        <v>0</v>
      </c>
      <c r="I40" s="209" t="str">
        <f ca="1">IF(ISERROR($V40),"",OFFSET('Smelter Look-up'!$H$4,$V40-4,0))</f>
        <v>Chuzhou</v>
      </c>
      <c r="J40" s="209" t="str">
        <f ca="1">IF(ISERROR($V40),"",OFFSET('Smelter Look-up'!$I$4,$V40-4,0))</f>
        <v>Anhui Sheng</v>
      </c>
      <c r="K40" s="151"/>
      <c r="L40" s="151"/>
      <c r="M40" s="151"/>
      <c r="N40" s="151"/>
      <c r="O40" s="151"/>
      <c r="P40" s="211"/>
      <c r="Q40" s="152"/>
      <c r="R40" s="150" t="str">
        <f ca="1">IF(ISERROR($V40),"",OFFSET('Smelter Look-up'!$C$4,$V40-4,0)&amp;"")</f>
        <v>Anhui Hanrui New Material Co., Ltd.</v>
      </c>
      <c r="S40" s="156" t="str">
        <f t="shared" ca="1" si="0"/>
        <v>CN</v>
      </c>
      <c r="T40" s="156" t="str">
        <f ca="1">IF(B40="","",IF(ISERROR(MATCH($J40,SorP!$B$1:$B$6226,0)),"",INDIRECT("'SorP'!$A$"&amp;MATCH($S40&amp;$J40,SorP!C:C,0))))</f>
        <v>CN-AH</v>
      </c>
      <c r="U40" s="169"/>
      <c r="V40" s="170">
        <f ca="1">IF(C40="",NA(),MATCH($B40&amp;$C40,'Smelter Look-up'!$J:$J,0))</f>
        <v>5</v>
      </c>
      <c r="X40" s="171">
        <f t="shared" ca="1" si="1"/>
        <v>0</v>
      </c>
      <c r="AB40" s="171" t="str">
        <f t="shared" ca="1" si="2"/>
        <v>CobaltAnhui Hanrui New Material Co., Ltd.</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KYOCERA AVX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 xml:space="preserve">Company Level, suppliers responding are reported at a company level </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cindy dodd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cindy.dodd@kyocera-avx.com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8649679385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cindy.dodd@kyocera-avx.com</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cindy.dodd@kyocera-avx.com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Unknown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50%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https://www.kyocera-avx.com/docs/corporate/Responsible-Minerals-Sourcing-Policy.pdf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BF346C3-C29A-474B-8180-F947FFC3946E}"/>
    </customSheetView>
    <customSheetView guid="{C59130F4-2E03-5E48-94CE-6E4A0484DB9E}" showAutoFilter="1">
      <selection activeCell="E4" sqref="E4"/>
      <pageMargins left="0" right="0" top="0" bottom="0" header="0" footer="0"/>
      <pageSetup paperSize="9" orientation="portrait"/>
      <headerFooter alignWithMargins="0"/>
      <autoFilter ref="B1:N1" xr:uid="{F649BB64-234E-42FE-AE4E-86A5992FD833}"/>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Cindy Dodd</cp:lastModifiedBy>
  <cp:revision/>
  <dcterms:created xsi:type="dcterms:W3CDTF">2010-06-21T21:00:23Z</dcterms:created>
  <dcterms:modified xsi:type="dcterms:W3CDTF">2024-05-03T20:14:07Z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